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TEAM\WWN\NW\NWRE\Alle\Stadtwerke Stadtoldendorf\SLP-Allokationsdaten\"/>
    </mc:Choice>
  </mc:AlternateContent>
  <xr:revisionPtr revIDLastSave="0" documentId="8_{56D27ACA-2B5C-45BC-A57C-0070D80875E0}" xr6:coauthVersionLast="45" xr6:coauthVersionMax="45" xr10:uidLastSave="{00000000-0000-0000-0000-000000000000}"/>
  <bookViews>
    <workbookView xWindow="-108" yWindow="-108" windowWidth="23256" windowHeight="12576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7" l="1"/>
  <c r="F12" i="7"/>
  <c r="P13" i="7"/>
  <c r="O13" i="7"/>
  <c r="N13" i="7"/>
  <c r="M13" i="7"/>
  <c r="L13" i="7"/>
  <c r="K13" i="7"/>
  <c r="J13" i="7"/>
  <c r="I13" i="7"/>
  <c r="H13" i="7"/>
  <c r="P12" i="7"/>
  <c r="O12" i="7"/>
  <c r="N12" i="7"/>
  <c r="M12" i="7"/>
  <c r="L12" i="7"/>
  <c r="K12" i="7"/>
  <c r="J12" i="7"/>
  <c r="I12" i="7"/>
  <c r="H12" i="7"/>
  <c r="E7" i="17" l="1"/>
  <c r="E6" i="17"/>
  <c r="R12" i="7" l="1"/>
  <c r="S12" i="7"/>
  <c r="T12" i="7"/>
  <c r="U12" i="7"/>
  <c r="V12" i="7"/>
  <c r="W12" i="7"/>
  <c r="R13" i="7"/>
  <c r="S13" i="7"/>
  <c r="T13" i="7"/>
  <c r="U13" i="7"/>
  <c r="V13" i="7"/>
  <c r="W13" i="7"/>
  <c r="X13" i="7" s="1"/>
  <c r="R14" i="7"/>
  <c r="S14" i="7"/>
  <c r="T14" i="7"/>
  <c r="U14" i="7"/>
  <c r="V14" i="7"/>
  <c r="W14" i="7"/>
  <c r="R15" i="7"/>
  <c r="S15" i="7"/>
  <c r="T15" i="7"/>
  <c r="U15" i="7"/>
  <c r="V15" i="7"/>
  <c r="W15" i="7"/>
  <c r="E4" i="17"/>
  <c r="X15" i="7" l="1"/>
  <c r="X14" i="7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D32" i="18"/>
  <c r="M31" i="18" s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K31" i="18"/>
  <c r="N31" i="18"/>
  <c r="J31" i="18"/>
  <c r="F31" i="18"/>
  <c r="H53" i="18"/>
  <c r="H63" i="18"/>
  <c r="D66" i="18" s="1"/>
  <c r="D21" i="15"/>
  <c r="C20" i="15"/>
  <c r="K21" i="18" l="1"/>
  <c r="G31" i="18"/>
  <c r="I21" i="18"/>
  <c r="J21" i="18"/>
  <c r="H21" i="18"/>
  <c r="L21" i="18"/>
  <c r="N21" i="18"/>
  <c r="E21" i="18" s="1"/>
  <c r="H31" i="18"/>
  <c r="E31" i="18" s="1"/>
  <c r="I31" i="18"/>
  <c r="L31" i="18"/>
  <c r="G21" i="18"/>
  <c r="M21" i="18"/>
  <c r="D56" i="18"/>
  <c r="J55" i="18" s="1"/>
  <c r="K65" i="18"/>
  <c r="G65" i="18"/>
  <c r="N65" i="18"/>
  <c r="L65" i="18"/>
  <c r="J65" i="18"/>
  <c r="H65" i="18"/>
  <c r="I65" i="18"/>
  <c r="M65" i="18"/>
  <c r="F65" i="18"/>
  <c r="L55" i="18"/>
  <c r="I55" i="18"/>
  <c r="F70" i="17"/>
  <c r="G70" i="17"/>
  <c r="H70" i="17"/>
  <c r="I70" i="17"/>
  <c r="J70" i="17"/>
  <c r="K70" i="17"/>
  <c r="L70" i="17"/>
  <c r="M70" i="17"/>
  <c r="N70" i="17"/>
  <c r="E70" i="17"/>
  <c r="M55" i="18" l="1"/>
  <c r="H55" i="18"/>
  <c r="F55" i="18"/>
  <c r="G55" i="18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14" i="7" l="1"/>
  <c r="O14" i="7"/>
  <c r="F15" i="7"/>
  <c r="O15" i="7"/>
  <c r="I14" i="7"/>
  <c r="H14" i="7"/>
  <c r="P14" i="7"/>
  <c r="H15" i="7"/>
  <c r="P15" i="7"/>
  <c r="I15" i="7"/>
  <c r="J15" i="7"/>
  <c r="K15" i="7"/>
  <c r="L14" i="7"/>
  <c r="M15" i="7"/>
  <c r="J14" i="7"/>
  <c r="M14" i="7"/>
  <c r="L15" i="7"/>
  <c r="N15" i="7"/>
  <c r="K14" i="7"/>
  <c r="N14" i="7"/>
  <c r="N11" i="7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4" i="7"/>
  <c r="Q12" i="7"/>
  <c r="Q15" i="7"/>
  <c r="C12" i="7"/>
  <c r="C20" i="7"/>
  <c r="C13" i="7"/>
  <c r="C14" i="7"/>
  <c r="C22" i="7"/>
  <c r="C25" i="7"/>
  <c r="C15" i="7"/>
  <c r="C23" i="7"/>
  <c r="C21" i="7"/>
  <c r="C16" i="7"/>
  <c r="C24" i="7"/>
  <c r="C17" i="7"/>
  <c r="C18" i="7"/>
  <c r="C26" i="7"/>
  <c r="C19" i="7"/>
  <c r="Q11" i="7"/>
  <c r="C41" i="7"/>
  <c r="C29" i="7"/>
  <c r="C31" i="7"/>
  <c r="C32" i="7"/>
  <c r="C28" i="7"/>
  <c r="C34" i="7"/>
  <c r="C39" i="7"/>
  <c r="C36" i="7"/>
  <c r="C33" i="7"/>
  <c r="C38" i="7"/>
  <c r="C27" i="7"/>
  <c r="C30" i="7"/>
  <c r="C35" i="7"/>
  <c r="C40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<sst xmlns="http://schemas.openxmlformats.org/spreadsheetml/2006/main" count="1374" uniqueCount="668">
  <si>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</si>
  <si>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</si>
  <si>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</si>
  <si>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</si>
  <si>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</si>
  <si>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</si>
  <si>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</si>
  <si>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</si>
  <si>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</si>
  <si>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</si>
  <si>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</si>
  <si>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</si>
  <si>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</si>
  <si>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</si>
  <si>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</si>
  <si>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</si>
  <si>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</si>
  <si>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</si>
  <si>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</si>
  <si>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</si>
  <si>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</si>
  <si>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</si>
  <si>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</si>
  <si>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</si>
  <si>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</si>
  <si>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</si>
  <si>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</si>
  <si>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</si>
  <si>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</si>
  <si>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</si>
  <si>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</si>
  <si>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</si>
  <si>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</si>
  <si>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</si>
  <si>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</si>
  <si>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</si>
  <si>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</si>
  <si>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</si>
  <si>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</si>
  <si>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</si>
  <si>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</si>
  <si>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</si>
  <si>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</si>
  <si>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</si>
  <si>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</si>
  <si>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</si>
  <si>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</si>
  <si>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</si>
  <si>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</si>
  <si>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</si>
  <si>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</si>
  <si>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</si>
  <si>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</si>
  <si>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</si>
  <si>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</si>
  <si>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</si>
  <si>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</si>
  <si>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</si>
  <si>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</si>
  <si>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</si>
  <si>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</si>
  <si>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</si>
  <si>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</si>
  <si>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</si>
  <si>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</si>
  <si>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</si>
  <si>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</si>
  <si>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</si>
  <si>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</si>
  <si>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</si>
  <si>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</si>
  <si>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</si>
  <si>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</si>
  <si>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</si>
  <si>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</si>
  <si>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</si>
  <si>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</si>
  <si>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</si>
  <si>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</si>
  <si>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</si>
  <si>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</si>
  <si>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</si>
  <si>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</si>
  <si>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</si>
  <si>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</si>
  <si>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</si>
  <si>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</si>
  <si>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</si>
  <si>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</si>
  <si>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</si>
  <si>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</si>
  <si>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</si>
  <si>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</si>
  <si>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</si>
  <si>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</si>
  <si>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</si>
  <si>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</si>
  <si>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</si>
  <si>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</si>
  <si>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</si>
  <si>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</si>
  <si>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</si>
  <si>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</si>
  <si>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</si>
  <si>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</si>
  <si>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</si>
  <si>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</si>
  <si>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</si>
  <si>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</si>
  <si>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</si>
  <si>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</si>
  <si>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</si>
  <si>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</si>
  <si>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</si>
  <si>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</si>
  <si>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</si>
  <si>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</si>
  <si>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</si>
  <si>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</si>
  <si>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</si>
  <si>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</si>
  <si>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</si>
  <si>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</si>
  <si>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</si>
  <si>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</si>
  <si>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</si>
  <si>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</si>
  <si>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</si>
  <si>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</si>
  <si>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</si>
  <si>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</si>
  <si>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</si>
  <si>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</si>
  <si>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</si>
  <si>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</si>
  <si>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</si>
  <si>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</si>
  <si>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</si>
  <si>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</si>
  <si>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</si>
  <si>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</si>
  <si>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</si>
  <si>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</si>
  <si>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</si>
  <si>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</si>
  <si>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</si>
  <si>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</si>
  <si>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</si>
  <si>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</si>
  <si>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</si>
  <si>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</si>
  <si>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</si>
  <si>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</si>
  <si>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</si>
  <si>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</si>
  <si>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</si>
  <si>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</si>
  <si>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</si>
  <si>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</si>
  <si>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</si>
  <si>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</si>
  <si>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</si>
  <si>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</si>
  <si>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</si>
  <si>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</si>
  <si>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</si>
  <si>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</si>
  <si>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</si>
  <si>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</si>
  <si>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</si>
  <si>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</si>
  <si>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</si>
  <si>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</si>
  <si>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</si>
  <si>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</si>
  <si>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</si>
  <si>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</si>
  <si>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</si>
  <si>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</si>
  <si>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</si>
  <si>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</si>
  <si>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</si>
  <si>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</si>
  <si>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</si>
  <si>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</si>
  <si>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</si>
  <si>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</si>
  <si>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</si>
  <si>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</si>
  <si>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</si>
  <si>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</si>
  <si>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</si>
  <si>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</si>
  <si>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</si>
  <si>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</si>
  <si>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</si>
  <si>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</si>
  <si>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</si>
  <si>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</si>
  <si>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</si>
  <si>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</si>
  <si>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</si>
  <si>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</si>
  <si>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</si>
  <si>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</si>
  <si>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</si>
  <si>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</si>
  <si>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</si>
  <si>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</si>
  <si>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</si>
  <si>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</si>
  <si>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</si>
  <si>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</si>
  <si>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</si>
  <si>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</si>
  <si>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</si>
  <si>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</si>
  <si>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</si>
  <si>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</si>
  <si>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</si>
  <si>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</si>
  <si>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</si>
  <si>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</si>
  <si>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</si>
  <si>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</si>
  <si>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</si>
  <si>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</si>
  <si>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</si>
  <si>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</si>
  <si>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</si>
  <si>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</si>
  <si>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</si>
  <si>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</si>
  <si>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</si>
  <si>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</si>
  <si>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</si>
  <si>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</si>
  <si>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</si>
  <si>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</si>
  <si>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</si>
  <si>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</si>
  <si>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</si>
  <si>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</si>
  <si>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</si>
  <si>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</si>
  <si>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</si>
  <si>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</si>
  <si>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</si>
  <si>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</si>
  <si>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</si>
  <si>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</si>
  <si>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</si>
  <si>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</si>
  <si>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</si>
  <si>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</si>
  <si>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</si>
  <si>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</si>
  <si>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</si>
  <si>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</si>
  <si>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</si>
  <si>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</si>
  <si>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</si>
  <si>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</si>
  <si>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</si>
  <si>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</si>
  <si>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</si>
  <si>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</si>
  <si>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</si>
  <si>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</si>
  <si>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</si>
  <si>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</si>
  <si>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</si>
  <si>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</si>
  <si>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</si>
  <si>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</si>
  <si>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</si>
  <si>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</si>
  <si>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</si>
  <si>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</si>
  <si>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</si>
  <si>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</si>
  <si>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</si>
  <si>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</si>
  <si>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</si>
  <si>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</si>
  <si>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</si>
  <si>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</si>
  <si>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</si>
  <si>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</si>
  <si>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</si>
  <si>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</si>
  <si>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</si>
  <si>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</si>
  <si>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</si>
  <si>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</si>
  <si>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</si>
  <si>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</si>
  <si>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</si>
  <si>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</si>
  <si>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</si>
  <si>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</si>
  <si>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</si>
  <si>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</si>
  <si>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</si>
  <si>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</si>
  <si>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</si>
  <si>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</si>
  <si>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</si>
  <si>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</si>
  <si>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</si>
  <si>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</si>
  <si>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</si>
  <si>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</si>
  <si>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</si>
  <si>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</si>
  <si>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</si>
  <si>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</si>
  <si>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</si>
  <si>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</si>
  <si>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</si>
  <si>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</si>
  <si>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</si>
  <si>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</si>
  <si>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</si>
  <si>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</si>
  <si>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</si>
  <si>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</si>
  <si>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</si>
  <si>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</si>
  <si>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</si>
  <si>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</si>
  <si>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</si>
  <si>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</si>
  <si>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</si>
  <si>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</si>
  <si>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</si>
  <si>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</si>
  <si>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</si>
  <si>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</si>
  <si>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</si>
  <si>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</si>
  <si>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</si>
  <si>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</si>
  <si>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</si>
  <si>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</si>
  <si>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</si>
  <si>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</si>
  <si>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</si>
  <si>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</si>
  <si>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</si>
  <si>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</si>
  <si>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</si>
  <si>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</si>
  <si>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</si>
  <si>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</si>
  <si>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</si>
  <si>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</si>
  <si>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</si>
  <si>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</si>
  <si>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</si>
  <si>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</si>
  <si>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</si>
  <si>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</si>
  <si>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</si>
  <si>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</si>
  <si>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</si>
  <si>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</si>
  <si>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</si>
  <si>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</si>
  <si>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</si>
  <si>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</si>
  <si>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</si>
  <si>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</si>
  <si>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</si>
  <si>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</si>
  <si>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</si>
  <si>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</si>
  <si>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</si>
  <si>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</si>
  <si>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</si>
  <si>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</si>
  <si>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</si>
  <si>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</si>
  <si>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</si>
  <si>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</si>
  <si>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</si>
  <si>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</si>
  <si>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</si>
  <si>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</si>
  <si>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</si>
  <si>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</si>
  <si>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</si>
  <si>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</si>
  <si>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</si>
  <si>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</si>
  <si>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</si>
  <si>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</si>
  <si>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</si>
  <si>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</si>
  <si>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</si>
  <si>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</si>
  <si>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</si>
  <si>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</si>
  <si>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</si>
  <si>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</si>
  <si>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</si>
  <si>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</si>
  <si>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</si>
  <si>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</si>
  <si>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</si>
  <si>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</si>
  <si>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</si>
  <si>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</si>
  <si>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</si>
  <si>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</si>
  <si>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</si>
  <si>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</si>
  <si>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</si>
  <si>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</si>
  <si>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</si>
  <si>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</si>
  <si>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</si>
  <si>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</si>
  <si>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</si>
  <si>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</si>
  <si>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</si>
  <si>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</si>
  <si>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</si>
  <si>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</si>
  <si>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</si>
  <si>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</si>
  <si>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</si>
  <si>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</si>
  <si>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</si>
  <si>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</si>
  <si>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</si>
  <si>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</si>
  <si>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</si>
  <si>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</si>
  <si>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</si>
  <si>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</si>
  <si>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</si>
  <si>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</si>
  <si>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</si>
  <si>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</si>
  <si>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</si>
  <si>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</si>
  <si>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</si>
  <si>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</si>
  <si>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</si>
  <si>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</si>
  <si>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</si>
  <si>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</si>
  <si>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</si>
  <si>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</si>
  <si>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</si>
  <si>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</si>
  <si>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</si>
  <si>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</si>
  <si>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</si>
  <si>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</si>
  <si>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</si>
  <si>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</si>
  <si>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</si>
  <si>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</si>
  <si>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</si>
  <si>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</si>
  <si>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</si>
  <si>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</si>
  <si>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</si>
  <si>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</si>
  <si>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</si>
  <si>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</si>
  <si>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</si>
  <si>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</si>
  <si>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</si>
  <si>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</si>
  <si>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</si>
  <si>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</si>
  <si>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</si>
  <si>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</si>
  <si>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</si>
  <si>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</si>
  <si>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</si>
  <si>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</si>
  <si>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</si>
  <si>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</si>
  <si>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</si>
  <si>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</si>
  <si>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</si>
  <si>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</si>
  <si>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</si>
  <si>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</si>
  <si>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</si>
  <si>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</si>
  <si>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</si>
  <si>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</si>
  <si>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</si>
  <si>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</si>
  <si>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</si>
  <si>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</si>
  <si>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</si>
  <si>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</si>
  <si>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</si>
  <si>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</si>
  <si>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</si>
  <si>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</si>
  <si>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</si>
  <si>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</si>
  <si>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</si>
  <si>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</si>
  <si>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</si>
  <si>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</si>
  <si>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</si>
  <si>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</si>
  <si>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</si>
  <si>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</si>
  <si>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</si>
  <si>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</si>
  <si>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</si>
  <si>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</si>
  <si>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</si>
  <si>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</si>
  <si>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</si>
  <si>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</si>
  <si>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</si>
  <si>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</si>
  <si>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</si>
  <si>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</si>
  <si>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</si>
  <si>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</si>
  <si>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</si>
  <si>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</si>
  <si>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</si>
  <si>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</si>
  <si>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</si>
  <si>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</si>
  <si>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</si>
  <si>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</si>
  <si>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</si>
  <si>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</si>
  <si>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</si>
  <si>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</si>
  <si>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</si>
  <si>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</si>
  <si>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</si>
  <si>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</si>
  <si>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</si>
  <si>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</si>
  <si>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</si>
  <si>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</si>
  <si>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</si>
  <si>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</si>
  <si>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</si>
  <si>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</si>
  <si>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</si>
  <si>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</si>
  <si>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</si>
  <si>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</si>
  <si>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</si>
  <si>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</si>
  <si>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</si>
  <si>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</si>
  <si>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</si>
  <si>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</si>
  <si>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</si>
  <si>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</si>
  <si>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</si>
  <si>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</si>
  <si>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</si>
  <si>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</si>
  <si>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</si>
  <si>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</si>
  <si>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</si>
  <si>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</si>
  <si>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</si>
  <si>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</si>
  <si>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</si>
  <si>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</si>
  <si>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</si>
  <si>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</si>
  <si>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</si>
  <si>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</si>
  <si>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</si>
  <si>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</si>
  <si>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</si>
  <si>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</si>
  <si>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</si>
  <si>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</si>
  <si>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</si>
  <si>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</si>
  <si>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</si>
  <si>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</si>
  <si>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</si>
  <si>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</si>
  <si>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</si>
  <si>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</si>
  <si>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</si>
  <si>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</si>
  <si>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</si>
  <si>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</si>
  <si>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</si>
  <si>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</si>
  <si>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</si>
  <si>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</si>
  <si>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</si>
  <si>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</si>
  <si>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</si>
  <si>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</si>
  <si>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</si>
  <si>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</si>
  <si>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</si>
  <si>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</si>
  <si>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</si>
  <si>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</si>
  <si>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</si>
  <si>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</si>
  <si>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</si>
  <si>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</si>
  <si>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</si>
  <si>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</si>
  <si>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</si>
  <si>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</si>
  <si>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</si>
  <si>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</si>
  <si>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</si>
  <si>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</si>
  <si>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</si>
  <si>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</si>
  <si>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</si>
  <si>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</si>
  <si>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</si>
  <si>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</si>
  <si>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</si>
  <si>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</si>
  <si>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</si>
  <si>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</si>
  <si>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</si>
  <si>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</si>
  <si>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</si>
  <si>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</si>
  <si>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</si>
  <si>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</si>
  <si>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</si>
  <si>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</si>
  <si>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</si>
  <si>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</si>
  <si>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</si>
  <si>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</si>
  <si>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</si>
  <si>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</si>
  <si>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</si>
  <si>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</si>
  <si>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</si>
  <si>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</si>
  <si>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</si>
  <si>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</si>
  <si>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Andreas Nürnberger</t>
  </si>
  <si>
    <t>edm.gas@service.ww-energie.com</t>
  </si>
  <si>
    <t>+49 721 631 45 31</t>
  </si>
  <si>
    <t>Bad Lippspringe</t>
  </si>
  <si>
    <t>Stadtwerke Stadtoldendorf GmbH</t>
  </si>
  <si>
    <t>9870087100003</t>
  </si>
  <si>
    <t>Holeburgweg 8</t>
  </si>
  <si>
    <t>Stadtoldendorf</t>
  </si>
  <si>
    <t>THE Trading Hub Europe</t>
  </si>
  <si>
    <t>THE0NKL700871000</t>
  </si>
  <si>
    <t>DE_GHA05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</si>
</sst>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0" fillId="33" borderId="17" xfId="0" applyFill="1" applyBorder="1" applyAlignment="1" applyProtection="1">
      <alignment horizontal="center" wrapText="1"/>
      <protection locked="0"/>
    </xf>
    <xf numFmtId="0" fontId="0" fillId="33" borderId="17" xfId="0" quotePrefix="1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2" fillId="0" borderId="0" xfId="3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E1" sqref="E1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501</v>
      </c>
      <c r="D6" s="27">
        <v>43891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350" t="s">
        <v>661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 t="s">
        <v>662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41" t="s">
        <v>663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52">
        <v>37627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350" t="s">
        <v>664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41" t="s">
        <v>657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3" t="s">
        <v>658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351" t="s">
        <v>659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499</v>
      </c>
      <c r="D28" s="46" t="str">
        <f>IF(D27&lt;&gt;C28,VLOOKUP(D27,$C$29:$D$48,2,FALSE),C28)</f>
        <v>THE Trading Hub Europe</v>
      </c>
      <c r="E28" s="38"/>
      <c r="F28" s="11"/>
      <c r="G28" s="2"/>
    </row>
    <row r="29" spans="1:15">
      <c r="B29" s="15"/>
      <c r="C29" s="22" t="s">
        <v>393</v>
      </c>
      <c r="D29" s="354" t="s">
        <v>665</v>
      </c>
      <c r="E29" s="40"/>
      <c r="F29" s="11"/>
      <c r="G29" s="2"/>
    </row>
    <row r="30" spans="1:15">
      <c r="B30" s="15"/>
      <c r="C30" s="22" t="s">
        <v>394</v>
      </c>
      <c r="D30" s="354"/>
      <c r="E30" s="40"/>
      <c r="F30" s="45"/>
      <c r="G30" s="2"/>
    </row>
    <row r="31" spans="1:15">
      <c r="B31" s="15"/>
      <c r="C31" s="22" t="s">
        <v>419</v>
      </c>
      <c r="D31" s="354"/>
      <c r="E31" s="40"/>
      <c r="F31" s="45"/>
      <c r="G31" s="2"/>
    </row>
    <row r="32" spans="1:15">
      <c r="B32" s="15"/>
      <c r="C32" s="22" t="s">
        <v>420</v>
      </c>
      <c r="D32" s="44"/>
      <c r="E32" s="40"/>
      <c r="F32" s="45"/>
      <c r="G32" s="2"/>
    </row>
    <row r="33" spans="2:7">
      <c r="B33" s="15"/>
      <c r="C33" s="22" t="s">
        <v>421</v>
      </c>
      <c r="D33" s="43"/>
      <c r="E33" s="40"/>
      <c r="F33" s="45"/>
      <c r="G33" s="2"/>
    </row>
    <row r="34" spans="2:7">
      <c r="B34" s="15"/>
      <c r="C34" s="22" t="s">
        <v>422</v>
      </c>
      <c r="D34" s="44"/>
      <c r="E34" s="40"/>
      <c r="F34" s="45"/>
      <c r="G34" s="2"/>
    </row>
    <row r="35" spans="2:7">
      <c r="B35" s="15"/>
      <c r="C35" s="22" t="s">
        <v>423</v>
      </c>
      <c r="D35" s="44"/>
      <c r="E35" s="40"/>
      <c r="F35" s="45"/>
      <c r="G35" s="2"/>
    </row>
    <row r="36" spans="2:7">
      <c r="B36" s="15"/>
      <c r="C36" s="22" t="s">
        <v>424</v>
      </c>
      <c r="D36" s="44"/>
      <c r="E36" s="40"/>
      <c r="F36" s="45"/>
      <c r="G36" s="2"/>
    </row>
    <row r="37" spans="2:7">
      <c r="B37" s="15"/>
      <c r="C37" s="22" t="s">
        <v>425</v>
      </c>
      <c r="D37" s="44"/>
      <c r="E37" s="40"/>
      <c r="F37" s="45"/>
      <c r="G37" s="2"/>
    </row>
    <row r="38" spans="2:7">
      <c r="B38" s="15"/>
      <c r="C38" s="22" t="s">
        <v>428</v>
      </c>
      <c r="D38" s="44"/>
      <c r="E38" s="40"/>
      <c r="F38" s="45"/>
      <c r="G38" s="2"/>
    </row>
    <row r="39" spans="2:7">
      <c r="B39" s="15"/>
      <c r="C39" s="22" t="s">
        <v>429</v>
      </c>
      <c r="D39" s="44"/>
      <c r="E39" s="40"/>
      <c r="F39" s="45"/>
      <c r="G39" s="2"/>
    </row>
    <row r="40" spans="2:7">
      <c r="B40" s="15"/>
      <c r="C40" s="22" t="s">
        <v>430</v>
      </c>
      <c r="D40" s="44"/>
      <c r="E40" s="40"/>
      <c r="F40" s="45"/>
      <c r="G40" s="2"/>
    </row>
    <row r="41" spans="2:7">
      <c r="B41" s="15"/>
      <c r="C41" s="22" t="s">
        <v>431</v>
      </c>
      <c r="D41" s="44"/>
      <c r="E41" s="40"/>
      <c r="F41" s="45"/>
      <c r="G41" s="2"/>
    </row>
    <row r="42" spans="2:7">
      <c r="B42" s="15"/>
      <c r="C42" s="22" t="s">
        <v>432</v>
      </c>
      <c r="D42" s="44"/>
      <c r="E42" s="40"/>
      <c r="F42" s="45"/>
      <c r="G42" s="2"/>
    </row>
    <row r="43" spans="2:7">
      <c r="B43" s="15"/>
      <c r="C43" s="22" t="s">
        <v>433</v>
      </c>
      <c r="D43" s="44"/>
      <c r="E43" s="40"/>
      <c r="F43" s="45"/>
      <c r="G43" s="2"/>
    </row>
    <row r="44" spans="2:7">
      <c r="B44" s="15"/>
      <c r="C44" s="22" t="s">
        <v>434</v>
      </c>
      <c r="D44" s="44"/>
      <c r="E44" s="40"/>
      <c r="F44" s="45"/>
      <c r="G44" s="2"/>
    </row>
    <row r="45" spans="2:7">
      <c r="B45" s="15"/>
      <c r="C45" s="22" t="s">
        <v>435</v>
      </c>
      <c r="D45" s="44"/>
      <c r="E45" s="40"/>
      <c r="F45" s="45"/>
      <c r="G45" s="2"/>
    </row>
    <row r="46" spans="2:7">
      <c r="B46" s="15"/>
      <c r="C46" s="22" t="s">
        <v>436</v>
      </c>
      <c r="D46" s="44"/>
      <c r="E46" s="40"/>
      <c r="F46" s="45"/>
    </row>
    <row r="47" spans="2:7">
      <c r="B47" s="15"/>
      <c r="C47" s="22" t="s">
        <v>437</v>
      </c>
      <c r="D47" s="44"/>
      <c r="E47" s="40"/>
      <c r="F47" s="45"/>
    </row>
    <row r="48" spans="2:7">
      <c r="B48" s="15"/>
      <c r="C48" s="22" t="s">
        <v>438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conditionalFormatting sqref="D32:D48">
    <cfRule type="expression" dxfId="60" priority="12">
      <formula>IF(CELL("Zeile",D32)&lt;$D$25+CELL("Zeile",$D$29),1,0)</formula>
    </cfRule>
  </conditionalFormatting>
  <conditionalFormatting sqref="D32:D48">
    <cfRule type="expression" dxfId="59" priority="11">
      <formula>IF(CELL(D32)&lt;$D$27+27,1,0)</formula>
    </cfRule>
  </conditionalFormatting>
  <conditionalFormatting sqref="D31">
    <cfRule type="expression" dxfId="58" priority="6">
      <formula>IF(CELL("Zeile",D31)&lt;$D$25+29,1,0)</formula>
    </cfRule>
  </conditionalFormatting>
  <conditionalFormatting sqref="D31">
    <cfRule type="expression" dxfId="57" priority="5">
      <formula>IF(CELL(D31)&lt;$D$27+27,1,0)</formula>
    </cfRule>
  </conditionalFormatting>
  <conditionalFormatting sqref="D29:D30">
    <cfRule type="expression" dxfId="56" priority="2">
      <formula>IF(CELL("Zeile",D29)&lt;$D$25+29,1,0)</formula>
    </cfRule>
  </conditionalFormatting>
  <conditionalFormatting sqref="D30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8" sqref="D8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266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4" t="s">
        <v>442</v>
      </c>
      <c r="D5" s="56" t="str">
        <f>Netzbetreiber!$D$9</f>
        <v>Stadtwerke Stadtoldendorf GmbH</v>
      </c>
      <c r="H5" s="66"/>
      <c r="I5" s="66"/>
      <c r="J5" s="66"/>
      <c r="K5" s="66"/>
    </row>
    <row r="6" spans="2:15" ht="15" customHeight="1">
      <c r="B6" s="22"/>
      <c r="C6" s="60" t="s">
        <v>441</v>
      </c>
      <c r="D6" s="56" t="str">
        <f>Netzbetreiber!D28</f>
        <v>THE Trading Hub Europe</v>
      </c>
      <c r="E6" s="15"/>
      <c r="H6" s="66"/>
      <c r="I6" s="66"/>
      <c r="J6" s="66"/>
      <c r="K6" s="66"/>
    </row>
    <row r="7" spans="2:15" ht="15" customHeight="1">
      <c r="B7" s="22"/>
      <c r="C7" s="58" t="s">
        <v>485</v>
      </c>
      <c r="D7" s="59" t="str">
        <f>Netzbetreiber!$D$11</f>
        <v>9870087100003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43891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5" t="s">
        <v>616</v>
      </c>
      <c r="I11" s="275" t="s">
        <v>617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653</v>
      </c>
      <c r="D13" s="41" t="s">
        <v>666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366</v>
      </c>
      <c r="D15" s="47" t="s">
        <v>257</v>
      </c>
      <c r="E15" s="15"/>
      <c r="H15" s="273" t="s">
        <v>257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575</v>
      </c>
      <c r="I16" s="274" t="s">
        <v>486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487</v>
      </c>
      <c r="I17" s="274" t="s">
        <v>488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613</v>
      </c>
      <c r="D19" s="47" t="s">
        <v>609</v>
      </c>
      <c r="E19" s="15"/>
      <c r="H19" s="271" t="s">
        <v>609</v>
      </c>
      <c r="I19" s="271" t="s">
        <v>610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618</v>
      </c>
      <c r="E20" s="15"/>
      <c r="H20" s="271" t="s">
        <v>612</v>
      </c>
      <c r="I20" s="8" t="s">
        <v>608</v>
      </c>
      <c r="J20" s="8"/>
      <c r="K20" s="8"/>
      <c r="L20" s="272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1" t="s">
        <v>611</v>
      </c>
      <c r="I21" s="271" t="s">
        <v>618</v>
      </c>
      <c r="J21" s="8"/>
      <c r="K21" s="8"/>
      <c r="L21" s="274" t="s">
        <v>619</v>
      </c>
      <c r="M21" s="274" t="s">
        <v>621</v>
      </c>
      <c r="N21" s="274" t="s">
        <v>620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622</v>
      </c>
      <c r="D24" s="42" t="s">
        <v>623</v>
      </c>
      <c r="E24" s="15"/>
      <c r="H24" s="307" t="s">
        <v>623</v>
      </c>
      <c r="I24" s="273" t="s">
        <v>624</v>
      </c>
      <c r="J24" s="273" t="s">
        <v>625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626</v>
      </c>
      <c r="I25" s="274" t="s">
        <v>627</v>
      </c>
      <c r="J25" s="274" t="s">
        <v>628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629</v>
      </c>
      <c r="I26" s="274" t="s">
        <v>630</v>
      </c>
      <c r="J26" s="274" t="s">
        <v>631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632</v>
      </c>
      <c r="I29" s="274" t="s">
        <v>633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634</v>
      </c>
      <c r="I30" s="271" t="s">
        <v>629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491</v>
      </c>
      <c r="C32" s="24" t="s">
        <v>493</v>
      </c>
      <c r="D32" s="267">
        <v>4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1"/>
      <c r="J34" s="271"/>
      <c r="K34" s="271"/>
      <c r="L34" s="271"/>
      <c r="M34" s="272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58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3" t="s">
        <v>660</v>
      </c>
    </row>
    <row r="46" spans="2:39" ht="18" customHeight="1">
      <c r="C46" s="22" t="s">
        <v>587</v>
      </c>
      <c r="D46" s="43"/>
    </row>
    <row r="47" spans="2:39" ht="18" customHeight="1">
      <c r="C47" s="22" t="s">
        <v>588</v>
      </c>
      <c r="D47" s="43"/>
    </row>
    <row r="48" spans="2:39" ht="18" customHeight="1">
      <c r="C48" s="22" t="s">
        <v>589</v>
      </c>
      <c r="D48" s="43"/>
    </row>
    <row r="49" spans="3:4" ht="18" customHeight="1">
      <c r="C49" s="22" t="s">
        <v>590</v>
      </c>
      <c r="D49" s="43"/>
    </row>
    <row r="50" spans="3:4" ht="18" customHeight="1">
      <c r="C50" s="22" t="s">
        <v>591</v>
      </c>
      <c r="D50" s="43"/>
    </row>
    <row r="51" spans="3:4" ht="18" customHeight="1">
      <c r="C51" s="22" t="s">
        <v>592</v>
      </c>
      <c r="D51" s="43"/>
    </row>
    <row r="52" spans="3:4" ht="18" customHeight="1">
      <c r="C52" s="22" t="s">
        <v>593</v>
      </c>
      <c r="D52" s="43"/>
    </row>
    <row r="53" spans="3:4" ht="18" customHeight="1">
      <c r="C53" s="22" t="s">
        <v>594</v>
      </c>
      <c r="D53" s="43"/>
    </row>
    <row r="54" spans="3:4" ht="18" customHeight="1">
      <c r="C54" s="22" t="s">
        <v>595</v>
      </c>
      <c r="D54" s="43"/>
    </row>
    <row r="55" spans="3:4" ht="18" customHeight="1">
      <c r="C55" s="22" t="s">
        <v>596</v>
      </c>
      <c r="D55" s="43"/>
    </row>
    <row r="56" spans="3:4" ht="18" customHeight="1">
      <c r="C56" s="22" t="s">
        <v>597</v>
      </c>
      <c r="D56" s="43"/>
    </row>
    <row r="57" spans="3:4" ht="18" customHeight="1">
      <c r="C57" s="22" t="s">
        <v>598</v>
      </c>
      <c r="D57" s="43"/>
    </row>
    <row r="58" spans="3:4" ht="18" customHeight="1">
      <c r="C58" s="22" t="s">
        <v>599</v>
      </c>
      <c r="D58" s="43"/>
    </row>
    <row r="59" spans="3:4" ht="18" customHeight="1">
      <c r="C59" s="22" t="s">
        <v>600</v>
      </c>
      <c r="D59" s="43"/>
    </row>
  </sheetData>
  <conditionalFormatting sqref="D45:D59">
    <cfRule type="expression" dxfId="54" priority="20">
      <formula>IF(CELL("Zeile",D45)&lt;$D$43+CELL("Zeile",$D$45),1,0)</formula>
    </cfRule>
  </conditionalFormatting>
  <conditionalFormatting sqref="D46:D59">
    <cfRule type="expression" dxfId="53" priority="19">
      <formula>IF(CELL(D46)&lt;$D$33+27,1,0)</formula>
    </cfRule>
  </conditionalFormatting>
  <conditionalFormatting sqref="D20">
    <cfRule type="expression" dxfId="52" priority="18">
      <formula>IF($D$19=$H$19,1,0)</formula>
    </cfRule>
  </conditionalFormatting>
  <conditionalFormatting sqref="D28">
    <cfRule type="expression" dxfId="51" priority="7">
      <formula>IF($D$15="synthetisch",1,0)</formula>
    </cfRule>
  </conditionalFormatting>
  <conditionalFormatting sqref="D25">
    <cfRule type="expression" dxfId="50" priority="5">
      <formula>IF(AND($D$24=$I$24,$D$23=$H$23),1,0)</formula>
    </cfRule>
  </conditionalFormatting>
  <conditionalFormatting sqref="D23:D25">
    <cfRule type="expression" dxfId="49" priority="8">
      <formula>IF($D$15="analytisch",1,0)</formula>
    </cfRule>
  </conditionalFormatting>
  <conditionalFormatting sqref="D24">
    <cfRule type="expression" dxfId="48" priority="6">
      <formula>IF($D$23="nein",1)</formula>
    </cfRule>
  </conditionalFormatting>
  <conditionalFormatting sqref="D13">
    <cfRule type="expression" dxfId="47" priority="1">
      <formula>IF($D$11="NCG",1,0)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H5" sqref="H5"/>
    </sheetView>
  </sheetViews>
  <sheetFormatPr baseColWidth="10" defaultColWidth="0" defaultRowHeight="14.4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5" width="22" style="127" customWidth="1"/>
    <col min="6" max="14" width="12.6640625" style="127" customWidth="1"/>
    <col min="15" max="15" width="34.109375" style="127" customWidth="1"/>
    <col min="16" max="16" width="7.33203125" style="169" hidden="1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26" width="0" style="55" hidden="1" customWidth="1"/>
    <col min="127" max="16384" width="1" style="55" hidden="1"/>
  </cols>
  <sheetData>
    <row r="1" spans="1:56" ht="75" customHeight="1"/>
    <row r="2" spans="1:56" ht="23.4">
      <c r="B2" s="170" t="s">
        <v>544</v>
      </c>
    </row>
    <row r="3" spans="1:56" ht="15" customHeight="1">
      <c r="B3" s="170"/>
    </row>
    <row r="4" spans="1:56">
      <c r="B4" s="129"/>
      <c r="C4" s="54" t="s">
        <v>442</v>
      </c>
      <c r="D4" s="55"/>
      <c r="E4" s="56" t="str">
        <f>Netzbetreiber!D9</f>
        <v>Stadtwerke Stadtoldendorf GmbH</v>
      </c>
      <c r="F4" s="129"/>
      <c r="M4" s="129"/>
      <c r="N4" s="129"/>
      <c r="O4" s="129"/>
    </row>
    <row r="5" spans="1:56">
      <c r="B5" s="129"/>
      <c r="C5" s="54" t="s">
        <v>441</v>
      </c>
      <c r="D5" s="55"/>
      <c r="E5" s="56" t="str">
        <f>Netzbetreiber!D28</f>
        <v>THE Trading Hub Europe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485</v>
      </c>
      <c r="D6" s="55"/>
      <c r="E6" s="355" t="str">
        <f>Netzbetreiber!D11</f>
        <v>9870087100003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f>Netzbetreiber!D6</f>
        <v>43891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585</v>
      </c>
      <c r="D10" s="129"/>
      <c r="E10" s="129"/>
      <c r="F10" s="298">
        <v>1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603</v>
      </c>
      <c r="D11" s="129"/>
      <c r="E11" s="129"/>
      <c r="F11" s="295" t="str">
        <f>INDEX('SLP-Verfahren'!D45:D59,'SLP-Temp-Gebiet #01'!F10)</f>
        <v>Bad Lippspringe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6" t="s">
        <v>584</v>
      </c>
      <c r="D13" s="356"/>
      <c r="E13" s="356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7" t="s">
        <v>445</v>
      </c>
      <c r="D14" s="357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7" t="s">
        <v>385</v>
      </c>
      <c r="D15" s="357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/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517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523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1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525</v>
      </c>
      <c r="D21" s="152" t="s">
        <v>515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537</v>
      </c>
      <c r="D22" s="185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155" t="s">
        <v>502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>
        <f>O15</f>
        <v>0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520</v>
      </c>
      <c r="D24" s="187"/>
      <c r="E24" s="155" t="s">
        <v>660</v>
      </c>
      <c r="F24" s="155">
        <v>0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514</v>
      </c>
      <c r="D25" s="187"/>
      <c r="E25" s="159">
        <v>10430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155" t="s">
        <v>503</v>
      </c>
      <c r="F26" s="155" t="s">
        <v>503</v>
      </c>
      <c r="G26" s="155" t="s">
        <v>503</v>
      </c>
      <c r="H26" s="155" t="s">
        <v>503</v>
      </c>
      <c r="I26" s="155" t="s">
        <v>503</v>
      </c>
      <c r="J26" s="155" t="s">
        <v>503</v>
      </c>
      <c r="K26" s="155" t="s">
        <v>503</v>
      </c>
      <c r="L26" s="155" t="s">
        <v>503</v>
      </c>
      <c r="M26" s="155" t="s">
        <v>503</v>
      </c>
      <c r="N26" s="155" t="s">
        <v>503</v>
      </c>
      <c r="O26" s="184" t="s">
        <v>142</v>
      </c>
      <c r="Q26" s="210"/>
      <c r="R26" s="208" t="s">
        <v>503</v>
      </c>
      <c r="S26" s="208" t="s">
        <v>655</v>
      </c>
      <c r="T26" s="208" t="s">
        <v>656</v>
      </c>
      <c r="U26" s="208" t="s">
        <v>504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654</v>
      </c>
      <c r="D27" s="348"/>
      <c r="E27" s="348">
        <v>133</v>
      </c>
      <c r="F27" s="348" t="str">
        <f>IF(F26="Individuelle GPT",CONCATENATE(Netzbetreiber!$D$11,'SLP-Temp-Gebiet #01'!F25,"B"),IF('SLP-Temp-Gebiet #01'!F26="Allgemeine GPT",CONCATENATE(Netzbetreiber!$D$11,'SLP-Temp-Gebiet #01'!F25,"A"),""))</f>
        <v/>
      </c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503</v>
      </c>
      <c r="S27" s="208" t="s">
        <v>504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519</v>
      </c>
      <c r="D29" s="129"/>
      <c r="E29" s="129"/>
      <c r="F29" s="47">
        <v>1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2">IF(F31&gt;$F$29,0,1)</f>
        <v>0</v>
      </c>
      <c r="G30" s="177">
        <f t="shared" si="2"/>
        <v>0</v>
      </c>
      <c r="H30" s="177">
        <f t="shared" si="2"/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>
        <f t="shared" si="2"/>
        <v>0</v>
      </c>
      <c r="M30" s="177">
        <f t="shared" si="2"/>
        <v>0</v>
      </c>
      <c r="N30" s="177">
        <f t="shared" si="2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256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526</v>
      </c>
      <c r="D32" s="185" t="s">
        <v>255</v>
      </c>
      <c r="E32" s="286">
        <f>1-SUMPRODUCT(F30:N30,F32:N32)</f>
        <v>1</v>
      </c>
      <c r="F32" s="286">
        <f>ROUND(F33/$D$33,4)</f>
        <v>0.5</v>
      </c>
      <c r="G32" s="286">
        <f t="shared" ref="G32:N32" si="3">ROUND(G33/$D$33,4)</f>
        <v>0.25</v>
      </c>
      <c r="H32" s="286">
        <f t="shared" si="3"/>
        <v>0.125</v>
      </c>
      <c r="I32" s="286">
        <f t="shared" si="3"/>
        <v>0</v>
      </c>
      <c r="J32" s="286">
        <f t="shared" si="3"/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533</v>
      </c>
      <c r="D33" s="292">
        <f>SUMPRODUCT(E33:N33,E30:N30)</f>
        <v>1</v>
      </c>
      <c r="E33" s="287">
        <v>1</v>
      </c>
      <c r="F33" s="287">
        <v>0.5</v>
      </c>
      <c r="G33" s="287">
        <v>0.25</v>
      </c>
      <c r="H33" s="287">
        <v>0.125</v>
      </c>
      <c r="I33" s="154"/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359</v>
      </c>
      <c r="D34" s="152" t="s">
        <v>358</v>
      </c>
      <c r="E34" s="155" t="s">
        <v>3</v>
      </c>
      <c r="F34" s="155" t="s">
        <v>357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82"/>
      <c r="C35" s="186" t="s">
        <v>448</v>
      </c>
      <c r="D35" s="152" t="s">
        <v>447</v>
      </c>
      <c r="E35" s="155" t="s">
        <v>511</v>
      </c>
      <c r="F35" s="155" t="s">
        <v>511</v>
      </c>
      <c r="G35" s="155" t="s">
        <v>511</v>
      </c>
      <c r="H35" s="155" t="s">
        <v>511</v>
      </c>
      <c r="I35" s="161"/>
      <c r="J35" s="161"/>
      <c r="K35" s="161"/>
      <c r="L35" s="161"/>
      <c r="M35" s="161"/>
      <c r="N35" s="161"/>
      <c r="O35" s="184" t="s">
        <v>142</v>
      </c>
      <c r="Q35" s="210"/>
      <c r="R35" s="66" t="s">
        <v>511</v>
      </c>
      <c r="S35" s="66" t="s">
        <v>512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605</v>
      </c>
      <c r="D36" s="152" t="s">
        <v>606</v>
      </c>
      <c r="E36" s="155" t="s">
        <v>604</v>
      </c>
      <c r="F36" s="155" t="s">
        <v>604</v>
      </c>
      <c r="G36" s="155" t="s">
        <v>604</v>
      </c>
      <c r="H36" s="155" t="s">
        <v>604</v>
      </c>
      <c r="I36" s="155" t="s">
        <v>604</v>
      </c>
      <c r="J36" s="155" t="s">
        <v>604</v>
      </c>
      <c r="K36" s="155" t="s">
        <v>604</v>
      </c>
      <c r="L36" s="155" t="s">
        <v>604</v>
      </c>
      <c r="M36" s="155" t="s">
        <v>604</v>
      </c>
      <c r="N36" s="155" t="s">
        <v>604</v>
      </c>
      <c r="O36" s="184" t="s">
        <v>142</v>
      </c>
      <c r="Q36" s="210"/>
      <c r="R36" s="66" t="s">
        <v>604</v>
      </c>
      <c r="S36" s="66" t="s">
        <v>607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440</v>
      </c>
      <c r="D37" s="118" t="s">
        <v>538</v>
      </c>
      <c r="E37" s="161" t="s">
        <v>449</v>
      </c>
      <c r="F37" s="161" t="s">
        <v>449</v>
      </c>
      <c r="G37" s="161" t="s">
        <v>450</v>
      </c>
      <c r="H37" s="161" t="s">
        <v>450</v>
      </c>
      <c r="I37" s="161"/>
      <c r="J37" s="161"/>
      <c r="K37" s="161"/>
      <c r="L37" s="161"/>
      <c r="M37" s="161"/>
      <c r="N37" s="161"/>
      <c r="O37" s="184" t="s">
        <v>142</v>
      </c>
      <c r="Q37" s="210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267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5.6">
      <c r="B40" s="192"/>
      <c r="C40" s="196" t="s">
        <v>347</v>
      </c>
      <c r="D40" s="197"/>
      <c r="E40" s="197" t="s">
        <v>531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532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524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529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530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535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536</v>
      </c>
      <c r="D47" s="200" t="s">
        <v>534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>
      <c r="B48" s="192"/>
      <c r="C48" s="199" t="s">
        <v>346</v>
      </c>
      <c r="D48" s="200" t="s">
        <v>534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360</v>
      </c>
      <c r="K48" s="197"/>
      <c r="L48" s="197"/>
      <c r="M48" s="197"/>
      <c r="N48" s="197"/>
      <c r="O48" s="198"/>
    </row>
    <row r="49" spans="2:28" ht="1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">
      <c r="B51" s="175" t="s">
        <v>579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543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518</v>
      </c>
      <c r="D55" s="179" t="s">
        <v>513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525</v>
      </c>
      <c r="D56" s="152" t="s">
        <v>515</v>
      </c>
      <c r="E56" s="286">
        <f>1-SUMPRODUCT(F54:N54,F56:N56)</f>
        <v>1</v>
      </c>
      <c r="F56" s="286">
        <f>ROUND(F57/$D$57,4)</f>
        <v>1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537</v>
      </c>
      <c r="D57" s="185">
        <f>SUMPRODUCT(E57:N57,E54:N54)</f>
        <v>1</v>
      </c>
      <c r="E57" s="287">
        <f>E22</f>
        <v>1</v>
      </c>
      <c r="F57" s="287">
        <f t="shared" ref="F57:N57" si="6">F22</f>
        <v>1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 t="str">
        <f t="shared" ref="F58:N58" si="7">F23</f>
        <v>DWD</v>
      </c>
      <c r="G58" s="155" t="str">
        <f t="shared" si="7"/>
        <v>DWD</v>
      </c>
      <c r="H58" s="155" t="str">
        <f t="shared" si="7"/>
        <v>DWD</v>
      </c>
      <c r="I58" s="155" t="str">
        <f t="shared" si="7"/>
        <v>DWD</v>
      </c>
      <c r="J58" s="155" t="str">
        <f t="shared" si="7"/>
        <v>DWD</v>
      </c>
      <c r="K58" s="155" t="str">
        <f t="shared" si="7"/>
        <v>DWD</v>
      </c>
      <c r="L58" s="155" t="str">
        <f t="shared" si="7"/>
        <v>DWD</v>
      </c>
      <c r="M58" s="155" t="str">
        <f t="shared" si="7"/>
        <v>DWD</v>
      </c>
      <c r="N58" s="155" t="str">
        <f t="shared" si="7"/>
        <v>DWD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520</v>
      </c>
      <c r="D59" s="187"/>
      <c r="E59" s="155" t="str">
        <f>E24</f>
        <v>Bad Lippspringe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521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514</v>
      </c>
      <c r="D60" s="187"/>
      <c r="E60" s="159">
        <f>E25</f>
        <v>10430</v>
      </c>
      <c r="F60" s="159" t="str">
        <f t="shared" ref="F60:N60" si="9">F25</f>
        <v>xxxxx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tr">
        <f>E26</f>
        <v>Temp. (2m)</v>
      </c>
      <c r="F61" s="157" t="str">
        <f t="shared" ref="F61:N61" si="10">F26</f>
        <v>Temp. (2m)</v>
      </c>
      <c r="G61" s="157" t="str">
        <f t="shared" si="10"/>
        <v>Temp. (2m)</v>
      </c>
      <c r="H61" s="157" t="str">
        <f t="shared" si="10"/>
        <v>Temp. (2m)</v>
      </c>
      <c r="I61" s="157" t="str">
        <f t="shared" si="10"/>
        <v>Temp. (2m)</v>
      </c>
      <c r="J61" s="157" t="str">
        <f t="shared" si="10"/>
        <v>Temp. (2m)</v>
      </c>
      <c r="K61" s="157" t="str">
        <f t="shared" si="10"/>
        <v>Temp. (2m)</v>
      </c>
      <c r="L61" s="157" t="str">
        <f t="shared" si="10"/>
        <v>Temp. (2m)</v>
      </c>
      <c r="M61" s="157" t="str">
        <f t="shared" si="10"/>
        <v>Temp. (2m)</v>
      </c>
      <c r="N61" s="157" t="str">
        <f t="shared" si="10"/>
        <v>Temp. (2m)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519</v>
      </c>
      <c r="D63" s="129"/>
      <c r="E63" s="129"/>
      <c r="F63" s="156">
        <f>F29</f>
        <v>1</v>
      </c>
    </row>
    <row r="64" spans="2:28" ht="15" customHeight="1">
      <c r="E64" s="177">
        <f>IF(E65&gt;$F$63,0,1)</f>
        <v>1</v>
      </c>
      <c r="F64" s="177">
        <f t="shared" ref="F64:N64" si="11">IF(F65&gt;$F$63,0,1)</f>
        <v>0</v>
      </c>
      <c r="G64" s="177">
        <f t="shared" si="11"/>
        <v>0</v>
      </c>
      <c r="H64" s="177">
        <f t="shared" si="11"/>
        <v>0</v>
      </c>
      <c r="I64" s="177">
        <f t="shared" si="11"/>
        <v>0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256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526</v>
      </c>
      <c r="D66" s="185" t="s">
        <v>255</v>
      </c>
      <c r="E66" s="286">
        <f>1-SUMPRODUCT(F64:N64,F66:N66)</f>
        <v>1</v>
      </c>
      <c r="F66" s="286">
        <f>ROUND(F67/$D$67,4)</f>
        <v>0.5</v>
      </c>
      <c r="G66" s="286">
        <f t="shared" ref="G66:N66" si="12">ROUND(G67/$D$67,4)</f>
        <v>0.25</v>
      </c>
      <c r="H66" s="286">
        <f t="shared" si="12"/>
        <v>0.125</v>
      </c>
      <c r="I66" s="286">
        <f t="shared" si="12"/>
        <v>0</v>
      </c>
      <c r="J66" s="286">
        <f t="shared" si="12"/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533</v>
      </c>
      <c r="D67" s="185">
        <f>SUMPRODUCT(E67:N67,E64:N64)</f>
        <v>1</v>
      </c>
      <c r="E67" s="294">
        <f>E33</f>
        <v>1</v>
      </c>
      <c r="F67" s="294">
        <f t="shared" ref="F67:N67" si="13">F33</f>
        <v>0.5</v>
      </c>
      <c r="G67" s="294">
        <f t="shared" si="13"/>
        <v>0.25</v>
      </c>
      <c r="H67" s="294">
        <f t="shared" si="13"/>
        <v>0.125</v>
      </c>
      <c r="I67" s="294">
        <f t="shared" si="13"/>
        <v>0</v>
      </c>
      <c r="J67" s="294">
        <f t="shared" si="13"/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359</v>
      </c>
      <c r="D68" s="152" t="s">
        <v>358</v>
      </c>
      <c r="E68" s="155" t="str">
        <f>E34</f>
        <v>D</v>
      </c>
      <c r="F68" s="155" t="str">
        <f t="shared" ref="F68:N68" si="14">F34</f>
        <v>D-1</v>
      </c>
      <c r="G68" s="155" t="str">
        <f t="shared" si="14"/>
        <v>D-2</v>
      </c>
      <c r="H68" s="155" t="str">
        <f t="shared" si="14"/>
        <v>D-3</v>
      </c>
      <c r="I68" s="155">
        <f t="shared" si="14"/>
        <v>0</v>
      </c>
      <c r="J68" s="155">
        <f t="shared" si="14"/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448</v>
      </c>
      <c r="D69" s="152" t="s">
        <v>447</v>
      </c>
      <c r="E69" s="158" t="str">
        <f>E35</f>
        <v>Gastag</v>
      </c>
      <c r="F69" s="158" t="str">
        <f t="shared" ref="F69:N69" si="15">F35</f>
        <v>Gastag</v>
      </c>
      <c r="G69" s="158" t="str">
        <f t="shared" si="15"/>
        <v>Gastag</v>
      </c>
      <c r="H69" s="158" t="str">
        <f t="shared" si="15"/>
        <v>Gastag</v>
      </c>
      <c r="I69" s="161">
        <f t="shared" si="15"/>
        <v>0</v>
      </c>
      <c r="J69" s="161">
        <f t="shared" si="15"/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605</v>
      </c>
      <c r="D70" s="152" t="s">
        <v>606</v>
      </c>
      <c r="E70" s="158" t="str">
        <f>E36</f>
        <v>CET/CEST</v>
      </c>
      <c r="F70" s="158" t="str">
        <f t="shared" ref="F70:N70" si="16">F36</f>
        <v>CET/CEST</v>
      </c>
      <c r="G70" s="158" t="str">
        <f t="shared" si="16"/>
        <v>CET/CEST</v>
      </c>
      <c r="H70" s="158" t="str">
        <f t="shared" si="16"/>
        <v>CET/CEST</v>
      </c>
      <c r="I70" s="161" t="str">
        <f t="shared" si="16"/>
        <v>CET/CEST</v>
      </c>
      <c r="J70" s="161" t="str">
        <f t="shared" si="16"/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440</v>
      </c>
      <c r="D71" s="118" t="s">
        <v>538</v>
      </c>
      <c r="E71" s="162" t="s">
        <v>450</v>
      </c>
      <c r="F71" s="162" t="s">
        <v>450</v>
      </c>
      <c r="G71" s="162" t="str">
        <f t="shared" ref="G71:N71" si="17">G37</f>
        <v>Temp.-IST</v>
      </c>
      <c r="H71" s="162" t="str">
        <f t="shared" si="17"/>
        <v>Temp.-IST</v>
      </c>
      <c r="I71" s="162">
        <f t="shared" si="17"/>
        <v>0</v>
      </c>
      <c r="J71" s="162">
        <f t="shared" si="17"/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1" orientation="landscape" r:id="rId1"/>
  <ignoredErrors>
    <ignoredError sqref="E67:N69 F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style="127" customWidth="1"/>
    <col min="2" max="2" width="5.44140625" style="127" customWidth="1"/>
    <col min="3" max="3" width="37.5546875" style="127" customWidth="1"/>
    <col min="4" max="4" width="12.5546875" style="127" customWidth="1"/>
    <col min="5" max="14" width="12.6640625" style="127" customWidth="1"/>
    <col min="15" max="15" width="34.109375" style="127" customWidth="1"/>
    <col min="16" max="16" width="7.33203125" style="169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4140625" style="55" hidden="1" customWidth="1"/>
    <col min="38" max="38" width="4" style="55" hidden="1" customWidth="1"/>
    <col min="39" max="47" width="4.44140625" style="55" hidden="1" customWidth="1"/>
    <col min="48" max="48" width="4" style="55" hidden="1" customWidth="1"/>
    <col min="49" max="16383" width="22.5546875" style="55" hidden="1"/>
    <col min="16384" max="16384" width="1" style="55" hidden="1" customWidth="1"/>
  </cols>
  <sheetData>
    <row r="1" spans="1:56" ht="75" customHeight="1"/>
    <row r="2" spans="1:56" ht="23.4">
      <c r="B2" s="170" t="s">
        <v>544</v>
      </c>
    </row>
    <row r="3" spans="1:56" ht="15" customHeight="1">
      <c r="B3" s="170"/>
    </row>
    <row r="4" spans="1:56" ht="14.4">
      <c r="B4" s="129"/>
      <c r="C4" s="54" t="s">
        <v>442</v>
      </c>
      <c r="D4" s="55"/>
      <c r="E4" s="56" t="s">
        <v>484</v>
      </c>
      <c r="F4" s="129"/>
      <c r="M4" s="129"/>
      <c r="N4" s="129"/>
      <c r="O4" s="129"/>
    </row>
    <row r="5" spans="1:56" ht="14.4">
      <c r="B5" s="129"/>
      <c r="C5" s="54" t="s">
        <v>441</v>
      </c>
      <c r="D5" s="55"/>
      <c r="E5" s="56" t="str">
        <f>Netzbetreiber!D28</f>
        <v>THE Trading Hub Europe</v>
      </c>
      <c r="F5" s="129"/>
      <c r="G5" s="129"/>
      <c r="H5" s="129"/>
      <c r="M5" s="129"/>
      <c r="N5" s="129"/>
      <c r="O5" s="129"/>
    </row>
    <row r="6" spans="1:56" ht="14.4">
      <c r="B6" s="129"/>
      <c r="C6" s="58" t="s">
        <v>485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 ht="14.4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 ht="14.4">
      <c r="B8" s="129"/>
      <c r="C8" s="129"/>
      <c r="D8" s="129"/>
      <c r="E8" s="129"/>
      <c r="F8" s="129"/>
      <c r="G8" s="129"/>
      <c r="H8" s="87" t="s">
        <v>495</v>
      </c>
      <c r="J8" s="129"/>
      <c r="K8" s="129"/>
      <c r="L8" s="129"/>
      <c r="M8" s="129"/>
      <c r="N8" s="129"/>
      <c r="O8" s="129"/>
    </row>
    <row r="9" spans="1:56" ht="14.4">
      <c r="B9" s="129"/>
      <c r="C9" s="58" t="s">
        <v>522</v>
      </c>
      <c r="D9" s="129"/>
      <c r="E9" s="129"/>
      <c r="F9" s="153">
        <f>'SLP-Verfahren'!D43</f>
        <v>1</v>
      </c>
      <c r="H9" s="171" t="s">
        <v>601</v>
      </c>
      <c r="J9" s="129"/>
      <c r="K9" s="129"/>
      <c r="L9" s="129"/>
      <c r="M9" s="129"/>
      <c r="N9" s="129"/>
      <c r="O9" s="129"/>
    </row>
    <row r="10" spans="1:56" ht="14.4">
      <c r="B10" s="129"/>
      <c r="C10" s="54" t="s">
        <v>585</v>
      </c>
      <c r="D10" s="129"/>
      <c r="E10" s="129"/>
      <c r="F10" s="298">
        <v>2</v>
      </c>
      <c r="G10" s="55"/>
      <c r="H10" s="171" t="s">
        <v>602</v>
      </c>
      <c r="J10" s="129"/>
      <c r="K10" s="129"/>
      <c r="L10" s="129"/>
      <c r="M10" s="129"/>
      <c r="N10" s="129"/>
      <c r="O10" s="129"/>
    </row>
    <row r="11" spans="1:56" ht="14.4">
      <c r="B11" s="129"/>
      <c r="C11" s="54" t="s">
        <v>603</v>
      </c>
      <c r="D11" s="129"/>
      <c r="E11" s="129"/>
      <c r="F11" s="295">
        <f>INDEX('SLP-Verfahren'!D45:D59,'SLP-Temp-Gebiet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 ht="14.4"/>
    <row r="13" spans="1:56" ht="18" customHeight="1">
      <c r="B13" s="129"/>
      <c r="C13" s="356" t="s">
        <v>584</v>
      </c>
      <c r="D13" s="356"/>
      <c r="E13" s="356"/>
      <c r="F13" s="182" t="s">
        <v>548</v>
      </c>
      <c r="G13" s="129" t="s">
        <v>546</v>
      </c>
      <c r="H13" s="264" t="s">
        <v>563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7" t="s">
        <v>445</v>
      </c>
      <c r="D14" s="357"/>
      <c r="E14" s="88" t="s">
        <v>446</v>
      </c>
      <c r="F14" s="265" t="s">
        <v>85</v>
      </c>
      <c r="G14" s="266" t="s">
        <v>572</v>
      </c>
      <c r="H14" s="49">
        <v>0</v>
      </c>
      <c r="I14" s="55"/>
      <c r="J14" s="129"/>
      <c r="K14" s="129"/>
      <c r="L14" s="129"/>
      <c r="M14" s="129"/>
      <c r="N14" s="129"/>
      <c r="O14" s="172" t="s">
        <v>527</v>
      </c>
      <c r="R14" s="208" t="s">
        <v>564</v>
      </c>
      <c r="S14" s="208" t="s">
        <v>565</v>
      </c>
      <c r="T14" s="208" t="s">
        <v>566</v>
      </c>
      <c r="U14" s="208" t="s">
        <v>567</v>
      </c>
      <c r="V14" s="208" t="s">
        <v>547</v>
      </c>
      <c r="W14" s="208" t="s">
        <v>568</v>
      </c>
      <c r="X14" s="208" t="s">
        <v>569</v>
      </c>
      <c r="Y14" s="208" t="s">
        <v>570</v>
      </c>
      <c r="Z14" s="208" t="s">
        <v>571</v>
      </c>
      <c r="AA14" s="208" t="s">
        <v>572</v>
      </c>
      <c r="AB14" s="208" t="s">
        <v>573</v>
      </c>
      <c r="AC14" s="208" t="s">
        <v>574</v>
      </c>
    </row>
    <row r="15" spans="1:56" ht="19.5" customHeight="1">
      <c r="B15" s="129"/>
      <c r="C15" s="357" t="s">
        <v>385</v>
      </c>
      <c r="D15" s="357"/>
      <c r="E15" s="88" t="s">
        <v>446</v>
      </c>
      <c r="F15" s="265" t="s">
        <v>71</v>
      </c>
      <c r="G15" s="266" t="s">
        <v>566</v>
      </c>
      <c r="H15" s="49">
        <v>0</v>
      </c>
      <c r="I15" s="55"/>
      <c r="J15" s="129"/>
      <c r="K15" s="129"/>
      <c r="L15" s="129"/>
      <c r="M15" s="129"/>
      <c r="N15" s="129"/>
      <c r="O15" s="160" t="s">
        <v>528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368</v>
      </c>
      <c r="AH15" s="263" t="s">
        <v>491</v>
      </c>
      <c r="AI15" s="263" t="s">
        <v>549</v>
      </c>
      <c r="AJ15" s="263" t="s">
        <v>550</v>
      </c>
      <c r="AK15" s="263" t="s">
        <v>551</v>
      </c>
      <c r="AL15" s="263" t="s">
        <v>552</v>
      </c>
      <c r="AM15" s="263" t="s">
        <v>553</v>
      </c>
      <c r="AN15" s="263" t="s">
        <v>554</v>
      </c>
      <c r="AO15" s="263" t="s">
        <v>555</v>
      </c>
      <c r="AP15" s="263" t="s">
        <v>556</v>
      </c>
      <c r="AQ15" s="263" t="s">
        <v>557</v>
      </c>
      <c r="AR15" s="263" t="s">
        <v>558</v>
      </c>
      <c r="AS15" s="263" t="s">
        <v>559</v>
      </c>
      <c r="AT15" s="263" t="s">
        <v>560</v>
      </c>
      <c r="AU15" s="263" t="s">
        <v>561</v>
      </c>
      <c r="AV15" s="263" t="s">
        <v>562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517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 ht="14.4">
      <c r="B18" s="129"/>
      <c r="C18" s="54" t="s">
        <v>523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518</v>
      </c>
      <c r="D20" s="179" t="s">
        <v>513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 ht="14.4">
      <c r="B21" s="182"/>
      <c r="C21" s="183" t="s">
        <v>525</v>
      </c>
      <c r="D21" s="152" t="s">
        <v>515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 ht="14.4">
      <c r="B22" s="182"/>
      <c r="C22" s="183" t="s">
        <v>537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 ht="14.4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502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 ht="14.4">
      <c r="B24" s="182"/>
      <c r="C24" s="186" t="s">
        <v>520</v>
      </c>
      <c r="D24" s="187"/>
      <c r="E24" s="155" t="s">
        <v>581</v>
      </c>
      <c r="F24" s="155" t="s">
        <v>582</v>
      </c>
      <c r="G24" s="155"/>
      <c r="H24" s="155"/>
      <c r="I24" s="155"/>
      <c r="J24" s="155"/>
      <c r="K24" s="155"/>
      <c r="L24" s="155"/>
      <c r="M24" s="155"/>
      <c r="N24" s="155"/>
      <c r="O24" s="184" t="s">
        <v>521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 ht="14.4">
      <c r="B25" s="182"/>
      <c r="C25" s="186" t="s">
        <v>514</v>
      </c>
      <c r="D25" s="187"/>
      <c r="E25" s="159" t="s">
        <v>361</v>
      </c>
      <c r="F25" s="159" t="s">
        <v>361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 ht="14.4">
      <c r="B26" s="182"/>
      <c r="C26" s="186" t="s">
        <v>141</v>
      </c>
      <c r="D26" s="187"/>
      <c r="E26" s="155" t="s">
        <v>503</v>
      </c>
      <c r="F26" s="155" t="s">
        <v>503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503</v>
      </c>
      <c r="S26" s="66" t="s">
        <v>504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 ht="14.4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 ht="14.4">
      <c r="B28" s="129"/>
      <c r="C28" s="54" t="s">
        <v>519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 ht="14.4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 ht="14.4">
      <c r="B31" s="182"/>
      <c r="C31" s="183" t="s">
        <v>526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 ht="14.4">
      <c r="B32" s="182"/>
      <c r="C32" s="183" t="s">
        <v>533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 ht="14.4">
      <c r="B33" s="182"/>
      <c r="C33" s="186" t="s">
        <v>359</v>
      </c>
      <c r="D33" s="152" t="s">
        <v>358</v>
      </c>
      <c r="E33" s="155" t="s">
        <v>3</v>
      </c>
      <c r="F33" s="155" t="s">
        <v>357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 ht="14.4">
      <c r="B34" s="182"/>
      <c r="C34" s="186" t="s">
        <v>448</v>
      </c>
      <c r="D34" s="152" t="s">
        <v>447</v>
      </c>
      <c r="E34" s="155" t="s">
        <v>511</v>
      </c>
      <c r="F34" s="155" t="s">
        <v>511</v>
      </c>
      <c r="G34" s="155" t="s">
        <v>511</v>
      </c>
      <c r="H34" s="155" t="s">
        <v>511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511</v>
      </c>
      <c r="S34" s="66" t="s">
        <v>512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 ht="14.4">
      <c r="B35" s="182"/>
      <c r="C35" s="186" t="s">
        <v>605</v>
      </c>
      <c r="D35" s="152" t="s">
        <v>606</v>
      </c>
      <c r="E35" s="155" t="s">
        <v>604</v>
      </c>
      <c r="F35" s="155" t="s">
        <v>604</v>
      </c>
      <c r="G35" s="155" t="s">
        <v>604</v>
      </c>
      <c r="H35" s="155" t="s">
        <v>604</v>
      </c>
      <c r="I35" s="155" t="s">
        <v>604</v>
      </c>
      <c r="J35" s="155" t="s">
        <v>604</v>
      </c>
      <c r="K35" s="155" t="s">
        <v>604</v>
      </c>
      <c r="L35" s="155" t="s">
        <v>604</v>
      </c>
      <c r="M35" s="155" t="s">
        <v>604</v>
      </c>
      <c r="N35" s="155" t="s">
        <v>604</v>
      </c>
      <c r="O35" s="184" t="s">
        <v>142</v>
      </c>
      <c r="Q35" s="210"/>
      <c r="R35" s="66" t="s">
        <v>604</v>
      </c>
      <c r="S35" s="66" t="s">
        <v>607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 ht="14.4">
      <c r="B36" s="182"/>
      <c r="C36" s="191" t="s">
        <v>440</v>
      </c>
      <c r="D36" s="118" t="s">
        <v>538</v>
      </c>
      <c r="E36" s="161" t="s">
        <v>449</v>
      </c>
      <c r="F36" s="161" t="s">
        <v>449</v>
      </c>
      <c r="G36" s="161" t="s">
        <v>450</v>
      </c>
      <c r="H36" s="161" t="s">
        <v>450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 ht="14.4">
      <c r="B38" s="192"/>
      <c r="C38" s="193" t="s">
        <v>267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6">
      <c r="B39" s="192"/>
      <c r="C39" s="196" t="s">
        <v>347</v>
      </c>
      <c r="D39" s="197"/>
      <c r="E39" s="197" t="s">
        <v>531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4">
      <c r="B40" s="192"/>
      <c r="C40" s="196"/>
      <c r="D40" s="197"/>
      <c r="E40" s="197" t="s">
        <v>532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4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4">
      <c r="B42" s="192"/>
      <c r="C42" s="199"/>
      <c r="D42" s="197"/>
      <c r="E42" s="197" t="s">
        <v>529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4">
      <c r="B43" s="192"/>
      <c r="C43" s="199"/>
      <c r="D43" s="197"/>
      <c r="E43" s="197" t="s">
        <v>530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4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4">
      <c r="B45" s="192"/>
      <c r="C45" s="196" t="s">
        <v>535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4">
      <c r="B46" s="192"/>
      <c r="C46" s="199" t="s">
        <v>536</v>
      </c>
      <c r="D46" s="200" t="s">
        <v>534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360</v>
      </c>
      <c r="K46" s="197"/>
      <c r="L46" s="197"/>
      <c r="M46" s="197"/>
      <c r="N46" s="197"/>
      <c r="O46" s="198"/>
    </row>
    <row r="47" spans="2:28" ht="14.4">
      <c r="B47" s="192"/>
      <c r="C47" s="199" t="s">
        <v>346</v>
      </c>
      <c r="D47" s="200" t="s">
        <v>534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360</v>
      </c>
      <c r="K47" s="197"/>
      <c r="L47" s="197"/>
      <c r="M47" s="197"/>
      <c r="N47" s="197"/>
      <c r="O47" s="198"/>
    </row>
    <row r="48" spans="2:28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4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">
      <c r="B50" s="175" t="s">
        <v>579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4.4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 ht="14.4">
      <c r="B52" s="129"/>
      <c r="C52" s="54" t="s">
        <v>543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518</v>
      </c>
      <c r="D54" s="179" t="s">
        <v>513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 ht="14.4">
      <c r="B55" s="182"/>
      <c r="C55" s="183" t="s">
        <v>525</v>
      </c>
      <c r="D55" s="152" t="s">
        <v>515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 ht="14.4">
      <c r="B56" s="182"/>
      <c r="C56" s="183" t="s">
        <v>537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 ht="14.4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 ht="14.4">
      <c r="B58" s="182"/>
      <c r="C58" s="186" t="s">
        <v>520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521</v>
      </c>
      <c r="W58" s="66"/>
      <c r="X58" s="66"/>
      <c r="Y58" s="66"/>
      <c r="Z58" s="66"/>
      <c r="AA58" s="66"/>
      <c r="AB58" s="66"/>
    </row>
    <row r="59" spans="2:28" ht="14.4">
      <c r="B59" s="182"/>
      <c r="C59" s="186" t="s">
        <v>514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 ht="14.4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 ht="14.4"/>
    <row r="62" spans="2:28" ht="14.4">
      <c r="C62" s="54" t="s">
        <v>519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4">
      <c r="B65" s="182"/>
      <c r="C65" s="183" t="s">
        <v>526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 ht="14.4">
      <c r="B66" s="182"/>
      <c r="C66" s="183" t="s">
        <v>533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 ht="14.4">
      <c r="B67" s="182"/>
      <c r="C67" s="186" t="s">
        <v>359</v>
      </c>
      <c r="D67" s="152" t="s">
        <v>358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 ht="14.4">
      <c r="B68" s="182"/>
      <c r="C68" s="186" t="s">
        <v>448</v>
      </c>
      <c r="D68" s="152" t="s">
        <v>447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 ht="14.4">
      <c r="B69" s="182"/>
      <c r="C69" s="186" t="s">
        <v>605</v>
      </c>
      <c r="D69" s="152" t="s">
        <v>606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 ht="14.4">
      <c r="B70" s="182"/>
      <c r="C70" s="191" t="s">
        <v>440</v>
      </c>
      <c r="D70" s="118" t="s">
        <v>538</v>
      </c>
      <c r="E70" s="162" t="s">
        <v>450</v>
      </c>
      <c r="F70" s="162" t="s">
        <v>450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 ht="14.4"/>
    <row r="72" spans="2:15" ht="15.75" customHeight="1">
      <c r="C72" s="358" t="s">
        <v>580</v>
      </c>
      <c r="D72" s="358"/>
      <c r="E72" s="358"/>
      <c r="F72" s="358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17" sqref="H17"/>
    </sheetView>
  </sheetViews>
  <sheetFormatPr baseColWidth="10" defaultColWidth="0" defaultRowHeight="14.4" zeroHeight="1"/>
  <cols>
    <col min="1" max="1" width="2.88671875" style="127" customWidth="1"/>
    <col min="2" max="2" width="8" style="127" customWidth="1"/>
    <col min="3" max="3" width="37.44140625" style="127" customWidth="1"/>
    <col min="4" max="4" width="10.6640625" style="127" customWidth="1"/>
    <col min="5" max="6" width="11.44140625" style="127" customWidth="1"/>
    <col min="8" max="8" width="12.6640625" style="127" customWidth="1"/>
    <col min="9" max="9" width="15.44140625" style="127" customWidth="1"/>
    <col min="10" max="11" width="12.6640625" style="127" customWidth="1"/>
    <col min="12" max="12" width="11.44140625" style="127" customWidth="1"/>
    <col min="13" max="16" width="12.6640625" style="127" customWidth="1"/>
    <col min="17" max="17" width="14.109375" style="127" customWidth="1"/>
    <col min="18" max="24" width="11.44140625" style="127" customWidth="1"/>
    <col min="25" max="25" width="20.109375" style="127" customWidth="1"/>
    <col min="26" max="26" width="11.44140625" style="127" customWidth="1"/>
    <col min="27" max="16384" width="11.44140625" style="127" hidden="1"/>
  </cols>
  <sheetData>
    <row r="1" spans="2:26" ht="75" customHeight="1" thickBot="1"/>
    <row r="2" spans="2:26" ht="23.4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367</v>
      </c>
      <c r="D5" s="52" t="str">
        <f>Netzbetreiber!$D$9</f>
        <v>Stadtwerke Stadtoldendorf GmbH</v>
      </c>
      <c r="E5" s="129"/>
      <c r="H5" s="87" t="s">
        <v>495</v>
      </c>
      <c r="I5" s="130" t="s">
        <v>498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334</v>
      </c>
      <c r="D6" s="52" t="str">
        <f>Netzbetreiber!$D$28</f>
        <v>THE Trading Hub Europe</v>
      </c>
      <c r="E6" s="129"/>
      <c r="F6" s="129"/>
      <c r="I6" s="130" t="s">
        <v>508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485</v>
      </c>
      <c r="D7" s="52" t="str">
        <f>Netzbetreiber!$D$11</f>
        <v>9870087100003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43891</v>
      </c>
      <c r="E8" s="129"/>
      <c r="F8" s="129"/>
      <c r="H8" s="127" t="s">
        <v>493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3.8" thickBot="1">
      <c r="B10" s="133" t="s">
        <v>249</v>
      </c>
      <c r="C10" s="134" t="s">
        <v>492</v>
      </c>
      <c r="D10" s="133" t="s">
        <v>147</v>
      </c>
      <c r="E10" s="276" t="s">
        <v>510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635</v>
      </c>
      <c r="M10" s="149" t="s">
        <v>644</v>
      </c>
      <c r="N10" s="150" t="s">
        <v>645</v>
      </c>
      <c r="O10" s="150" t="s">
        <v>646</v>
      </c>
      <c r="P10" s="151" t="s">
        <v>647</v>
      </c>
      <c r="Q10" s="145" t="s">
        <v>636</v>
      </c>
      <c r="R10" s="135" t="s">
        <v>637</v>
      </c>
      <c r="S10" s="136" t="s">
        <v>638</v>
      </c>
      <c r="T10" s="136" t="s">
        <v>639</v>
      </c>
      <c r="U10" s="136" t="s">
        <v>640</v>
      </c>
      <c r="V10" s="136" t="s">
        <v>641</v>
      </c>
      <c r="W10" s="136" t="s">
        <v>642</v>
      </c>
      <c r="X10" s="137" t="s">
        <v>643</v>
      </c>
      <c r="Y10" s="304" t="s">
        <v>648</v>
      </c>
    </row>
    <row r="11" spans="2:26" ht="15" thickBot="1">
      <c r="B11" s="138" t="s">
        <v>494</v>
      </c>
      <c r="C11" s="139" t="s">
        <v>509</v>
      </c>
      <c r="D11" s="303" t="s">
        <v>248</v>
      </c>
      <c r="E11" s="163" t="s">
        <v>516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THE Trading Hub Europe</v>
      </c>
      <c r="D12" s="61" t="s">
        <v>248</v>
      </c>
      <c r="E12" s="164" t="s">
        <v>24</v>
      </c>
      <c r="F12" s="306" t="str">
        <f>VLOOKUP($E12,'BDEW-Standard'!$B$3:$M$158,F$9,0)</f>
        <v>I14</v>
      </c>
      <c r="H12" s="277">
        <f>ROUND(VLOOKUP($E12,'BDEW-Standard'!$B$3:$M$158,H$9,0),7)</f>
        <v>3.1935978</v>
      </c>
      <c r="I12" s="277">
        <f>ROUND(VLOOKUP($E12,'BDEW-Standard'!$B$3:$M$158,I$9,0),7)</f>
        <v>-37.414247799999998</v>
      </c>
      <c r="J12" s="277">
        <f>ROUND(VLOOKUP($E12,'BDEW-Standard'!$B$3:$M$158,J$9,0),7)</f>
        <v>6.1824021</v>
      </c>
      <c r="K12" s="277">
        <f>ROUND(VLOOKUP($E12,'BDEW-Standard'!$B$3:$M$158,K$9,0),7)</f>
        <v>8.1086000000000005E-2</v>
      </c>
      <c r="L12" s="278">
        <f>ROUND(VLOOKUP($E12,'BDEW-Standard'!$B$3:$M$158,L$9,0),1)</f>
        <v>40</v>
      </c>
      <c r="M12" s="277">
        <f>ROUND(VLOOKUP($E12,'BDEW-Standard'!$B$3:$M$158,M$9,0),7)</f>
        <v>0</v>
      </c>
      <c r="N12" s="277">
        <f>ROUND(VLOOKUP($E12,'BDEW-Standard'!$B$3:$M$158,N$9,0),7)</f>
        <v>0</v>
      </c>
      <c r="O12" s="277">
        <f>ROUND(VLOOKUP($E12,'BDEW-Standard'!$B$3:$M$158,O$9,0),7)</f>
        <v>0</v>
      </c>
      <c r="P12" s="277">
        <f>ROUND(VLOOKUP($E12,'BDEW-Standard'!$B$3:$M$158,P$9,0),7)</f>
        <v>0</v>
      </c>
      <c r="Q12" s="279">
        <f t="shared" ref="Q12:Q15" si="1">($H12/(1+($I12/($Q$9-$L12))^$J12)+$K12)+MAX($M12*$Q$9+$N12,$O12*$Q$9+$P12)</f>
        <v>0.96123311186795624</v>
      </c>
      <c r="R12" s="280">
        <f>ROUND(VLOOKUP(MID($E12,4,3),'Wochentag F(WT)'!$B$7:$J$22,R$9,0),4)</f>
        <v>1</v>
      </c>
      <c r="S12" s="280">
        <f>ROUND(VLOOKUP(MID($E12,4,3),'Wochentag F(WT)'!$B$7:$J$22,S$9,0),4)</f>
        <v>1</v>
      </c>
      <c r="T12" s="280">
        <f>ROUND(VLOOKUP(MID($E12,4,3),'Wochentag F(WT)'!$B$7:$J$22,T$9,0),4)</f>
        <v>1</v>
      </c>
      <c r="U12" s="280">
        <f>ROUND(VLOOKUP(MID($E12,4,3),'Wochentag F(WT)'!$B$7:$J$22,U$9,0),4)</f>
        <v>1</v>
      </c>
      <c r="V12" s="280">
        <f>ROUND(VLOOKUP(MID($E12,4,3),'Wochentag F(WT)'!$B$7:$J$22,V$9,0),4)</f>
        <v>1</v>
      </c>
      <c r="W12" s="280">
        <f>ROUND(VLOOKUP(MID($E12,4,3),'Wochentag F(WT)'!$B$7:$J$22,W$9,0),4)</f>
        <v>1</v>
      </c>
      <c r="X12" s="281">
        <f>7-SUM(R12:W12)</f>
        <v>1</v>
      </c>
      <c r="Y12" s="302"/>
      <c r="Z12" s="211"/>
    </row>
    <row r="13" spans="2:26" s="142" customFormat="1">
      <c r="B13" s="143">
        <v>2</v>
      </c>
      <c r="C13" s="144" t="str">
        <f t="shared" si="0"/>
        <v>THE Trading Hub Europe</v>
      </c>
      <c r="D13" s="61" t="s">
        <v>248</v>
      </c>
      <c r="E13" s="164" t="s">
        <v>32</v>
      </c>
      <c r="F13" s="306" t="str">
        <f>VLOOKUP($E13,'BDEW-Standard'!$B$3:$M$158,F$9,0)</f>
        <v>I24</v>
      </c>
      <c r="H13" s="277">
        <f>ROUND(VLOOKUP($E13,'BDEW-Standard'!$B$3:$M$158,H$9,0),7)</f>
        <v>2.529738</v>
      </c>
      <c r="I13" s="277">
        <f>ROUND(VLOOKUP($E13,'BDEW-Standard'!$B$3:$M$158,I$9,0),7)</f>
        <v>-35.0300145</v>
      </c>
      <c r="J13" s="277">
        <f>ROUND(VLOOKUP($E13,'BDEW-Standard'!$B$3:$M$158,J$9,0),7)</f>
        <v>6.2051109000000002</v>
      </c>
      <c r="K13" s="277">
        <f>ROUND(VLOOKUP($E13,'BDEW-Standard'!$B$3:$M$158,K$9,0),7)</f>
        <v>0.1058318</v>
      </c>
      <c r="L13" s="278">
        <f>ROUND(VLOOKUP($E13,'BDEW-Standard'!$B$3:$M$158,L$9,0),1)</f>
        <v>40</v>
      </c>
      <c r="M13" s="277">
        <f>ROUND(VLOOKUP($E13,'BDEW-Standard'!$B$3:$M$158,M$9,0),7)</f>
        <v>0</v>
      </c>
      <c r="N13" s="277">
        <f>ROUND(VLOOKUP($E13,'BDEW-Standard'!$B$3:$M$158,N$9,0),7)</f>
        <v>0</v>
      </c>
      <c r="O13" s="277">
        <f>ROUND(VLOOKUP($E13,'BDEW-Standard'!$B$3:$M$158,O$9,0),7)</f>
        <v>0</v>
      </c>
      <c r="P13" s="277">
        <f>ROUND(VLOOKUP($E13,'BDEW-Standard'!$B$3:$M$158,P$9,0),7)</f>
        <v>0</v>
      </c>
      <c r="Q13" s="279">
        <f t="shared" si="1"/>
        <v>1.0247084991768873</v>
      </c>
      <c r="R13" s="280">
        <f>ROUND(VLOOKUP(MID($E13,4,3),'Wochentag F(WT)'!$B$7:$J$22,R$9,0),4)</f>
        <v>1</v>
      </c>
      <c r="S13" s="280">
        <f>ROUND(VLOOKUP(MID($E13,4,3),'Wochentag F(WT)'!$B$7:$J$22,S$9,0),4)</f>
        <v>1</v>
      </c>
      <c r="T13" s="280">
        <f>ROUND(VLOOKUP(MID($E13,4,3),'Wochentag F(WT)'!$B$7:$J$22,T$9,0),4)</f>
        <v>1</v>
      </c>
      <c r="U13" s="280">
        <f>ROUND(VLOOKUP(MID($E13,4,3),'Wochentag F(WT)'!$B$7:$J$22,U$9,0),4)</f>
        <v>1</v>
      </c>
      <c r="V13" s="280">
        <f>ROUND(VLOOKUP(MID($E13,4,3),'Wochentag F(WT)'!$B$7:$J$22,V$9,0),4)</f>
        <v>1</v>
      </c>
      <c r="W13" s="280">
        <f>ROUND(VLOOKUP(MID($E13,4,3),'Wochentag F(WT)'!$B$7:$J$22,W$9,0),4)</f>
        <v>1</v>
      </c>
      <c r="X13" s="281">
        <f t="shared" ref="X13:X15" si="2">7-SUM(R13:W13)</f>
        <v>1</v>
      </c>
      <c r="Y13" s="302"/>
      <c r="Z13" s="211"/>
    </row>
    <row r="14" spans="2:26" s="142" customFormat="1">
      <c r="B14" s="143">
        <v>3</v>
      </c>
      <c r="C14" s="144" t="str">
        <f t="shared" si="0"/>
        <v>THE Trading Hub Europe</v>
      </c>
      <c r="D14" s="61" t="s">
        <v>248</v>
      </c>
      <c r="E14" s="164" t="s">
        <v>667</v>
      </c>
      <c r="F14" s="306" t="str">
        <f>VLOOKUP($E14,'BDEW-Standard'!$B$3:$M$94,F$9,0)</f>
        <v>HA5</v>
      </c>
      <c r="H14" s="277">
        <f>ROUND(VLOOKUP($E14,'BDEW-Standard'!$B$3:$M$94,H$9,0),7)</f>
        <v>4.8252376000000003</v>
      </c>
      <c r="I14" s="277">
        <f>ROUND(VLOOKUP($E14,'BDEW-Standard'!$B$3:$M$94,I$9,0),7)</f>
        <v>-39.280256399999999</v>
      </c>
      <c r="J14" s="277">
        <f>ROUND(VLOOKUP($E14,'BDEW-Standard'!$B$3:$M$94,J$9,0),7)</f>
        <v>8.6240217000000001</v>
      </c>
      <c r="K14" s="277">
        <f>ROUND(VLOOKUP($E14,'BDEW-Standard'!$B$3:$M$94,K$9,0),7)</f>
        <v>9.9944999999999999E-3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0.7135891999263051</v>
      </c>
      <c r="R14" s="280">
        <f>ROUND(VLOOKUP(MID($E14,4,3),'Wochentag F(WT)'!$B$7:$J$22,R$9,0),4)</f>
        <v>1.0358000000000001</v>
      </c>
      <c r="S14" s="280">
        <f>ROUND(VLOOKUP(MID($E14,4,3),'Wochentag F(WT)'!$B$7:$J$22,S$9,0),4)</f>
        <v>1.0232000000000001</v>
      </c>
      <c r="T14" s="280">
        <f>ROUND(VLOOKUP(MID($E14,4,3),'Wochentag F(WT)'!$B$7:$J$22,T$9,0),4)</f>
        <v>1.0251999999999999</v>
      </c>
      <c r="U14" s="280">
        <f>ROUND(VLOOKUP(MID($E14,4,3),'Wochentag F(WT)'!$B$7:$J$22,U$9,0),4)</f>
        <v>1.0295000000000001</v>
      </c>
      <c r="V14" s="280">
        <f>ROUND(VLOOKUP(MID($E14,4,3),'Wochentag F(WT)'!$B$7:$J$22,V$9,0),4)</f>
        <v>1.0253000000000001</v>
      </c>
      <c r="W14" s="280">
        <f>ROUND(VLOOKUP(MID($E14,4,3),'Wochentag F(WT)'!$B$7:$J$22,W$9,0),4)</f>
        <v>0.96750000000000003</v>
      </c>
      <c r="X14" s="281">
        <f t="shared" si="2"/>
        <v>0.89350000000000041</v>
      </c>
      <c r="Y14" s="302"/>
      <c r="Z14" s="211"/>
    </row>
    <row r="15" spans="2:26" s="142" customFormat="1">
      <c r="B15" s="143">
        <v>4</v>
      </c>
      <c r="C15" s="144" t="str">
        <f t="shared" si="0"/>
        <v>THE Trading Hub Europe</v>
      </c>
      <c r="D15" s="61" t="s">
        <v>248</v>
      </c>
      <c r="E15" s="164" t="s">
        <v>4</v>
      </c>
      <c r="F15" s="306" t="str">
        <f>VLOOKUP($E15,'BDEW-Standard'!$B$3:$M$94,F$9,0)</f>
        <v>HK3</v>
      </c>
      <c r="H15" s="277">
        <f>ROUND(VLOOKUP($E15,'BDEW-Standard'!$B$3:$M$94,H$9,0),7)</f>
        <v>0.40409319999999999</v>
      </c>
      <c r="I15" s="277">
        <f>ROUND(VLOOKUP($E15,'BDEW-Standard'!$B$3:$M$94,I$9,0),7)</f>
        <v>-24.439296800000001</v>
      </c>
      <c r="J15" s="277">
        <f>ROUND(VLOOKUP($E15,'BDEW-Standard'!$B$3:$M$94,J$9,0),7)</f>
        <v>6.5718174999999999</v>
      </c>
      <c r="K15" s="277">
        <f>ROUND(VLOOKUP($E15,'BDEW-Standard'!$B$3:$M$94,K$9,0),7)</f>
        <v>0.71077100000000004</v>
      </c>
      <c r="L15" s="278">
        <f>ROUND(VLOOKUP($E15,'BDEW-Standard'!$B$3:$M$94,L$9,0),1)</f>
        <v>40</v>
      </c>
      <c r="M15" s="277">
        <f>ROUND(VLOOKUP($E15,'BDEW-Standard'!$B$3:$M$94,M$9,0),7)</f>
        <v>0</v>
      </c>
      <c r="N15" s="277">
        <f>ROUND(VLOOKUP($E15,'BDEW-Standard'!$B$3:$M$94,N$9,0),7)</f>
        <v>0</v>
      </c>
      <c r="O15" s="277">
        <f>ROUND(VLOOKUP($E15,'BDEW-Standard'!$B$3:$M$94,O$9,0),7)</f>
        <v>0</v>
      </c>
      <c r="P15" s="277">
        <f>ROUND(VLOOKUP($E15,'BDEW-Standard'!$B$3:$M$94,P$9,0),7)</f>
        <v>0</v>
      </c>
      <c r="Q15" s="279">
        <f t="shared" si="1"/>
        <v>1.0561214000512988</v>
      </c>
      <c r="R15" s="280">
        <f>ROUND(VLOOKUP(MID($E15,4,3),'Wochentag F(WT)'!$B$7:$J$22,R$9,0),4)</f>
        <v>1</v>
      </c>
      <c r="S15" s="280">
        <f>ROUND(VLOOKUP(MID($E15,4,3),'Wochentag F(WT)'!$B$7:$J$22,S$9,0),4)</f>
        <v>1</v>
      </c>
      <c r="T15" s="280">
        <f>ROUND(VLOOKUP(MID($E15,4,3),'Wochentag F(WT)'!$B$7:$J$22,T$9,0),4)</f>
        <v>1</v>
      </c>
      <c r="U15" s="280">
        <f>ROUND(VLOOKUP(MID($E15,4,3),'Wochentag F(WT)'!$B$7:$J$22,U$9,0),4)</f>
        <v>1</v>
      </c>
      <c r="V15" s="280">
        <f>ROUND(VLOOKUP(MID($E15,4,3),'Wochentag F(WT)'!$B$7:$J$22,V$9,0),4)</f>
        <v>1</v>
      </c>
      <c r="W15" s="280">
        <f>ROUND(VLOOKUP(MID($E15,4,3),'Wochentag F(WT)'!$B$7:$J$22,W$9,0),4)</f>
        <v>1</v>
      </c>
      <c r="X15" s="281">
        <f t="shared" si="2"/>
        <v>1</v>
      </c>
      <c r="Y15" s="302"/>
      <c r="Z15" s="211"/>
    </row>
    <row r="16" spans="2:26" s="142" customFormat="1">
      <c r="B16" s="143">
        <v>5</v>
      </c>
      <c r="C16" s="144" t="str">
        <f t="shared" si="0"/>
        <v>THE Trading Hub Europe</v>
      </c>
      <c r="D16" s="61"/>
      <c r="E16" s="164"/>
      <c r="F16" s="306"/>
      <c r="H16" s="277"/>
      <c r="I16" s="277"/>
      <c r="J16" s="277"/>
      <c r="K16" s="277"/>
      <c r="L16" s="278"/>
      <c r="M16" s="277"/>
      <c r="N16" s="277"/>
      <c r="O16" s="277"/>
      <c r="P16" s="277"/>
      <c r="Q16" s="279"/>
      <c r="R16" s="280"/>
      <c r="S16" s="280"/>
      <c r="T16" s="280"/>
      <c r="U16" s="280"/>
      <c r="V16" s="280"/>
      <c r="W16" s="280"/>
      <c r="X16" s="281"/>
      <c r="Y16" s="302"/>
      <c r="Z16" s="211"/>
    </row>
    <row r="17" spans="2:26" s="142" customFormat="1">
      <c r="B17" s="143">
        <v>6</v>
      </c>
      <c r="C17" s="144" t="str">
        <f t="shared" si="0"/>
        <v>THE Trading Hub Europe</v>
      </c>
      <c r="D17" s="61"/>
      <c r="E17" s="164"/>
      <c r="F17" s="306"/>
      <c r="H17" s="277"/>
      <c r="I17" s="277"/>
      <c r="J17" s="277"/>
      <c r="K17" s="277"/>
      <c r="L17" s="278"/>
      <c r="M17" s="277"/>
      <c r="N17" s="277"/>
      <c r="O17" s="277"/>
      <c r="P17" s="277"/>
      <c r="Q17" s="279"/>
      <c r="R17" s="280"/>
      <c r="S17" s="280"/>
      <c r="T17" s="280"/>
      <c r="U17" s="280"/>
      <c r="V17" s="280"/>
      <c r="W17" s="280"/>
      <c r="X17" s="281"/>
      <c r="Y17" s="302"/>
      <c r="Z17" s="211"/>
    </row>
    <row r="18" spans="2:26" s="142" customFormat="1">
      <c r="B18" s="143">
        <v>7</v>
      </c>
      <c r="C18" s="144" t="str">
        <f t="shared" si="0"/>
        <v>THE Trading Hub Europe</v>
      </c>
      <c r="D18" s="61"/>
      <c r="E18" s="164"/>
      <c r="F18" s="306"/>
      <c r="H18" s="277"/>
      <c r="I18" s="277"/>
      <c r="J18" s="277"/>
      <c r="K18" s="277"/>
      <c r="L18" s="278"/>
      <c r="M18" s="277"/>
      <c r="N18" s="277"/>
      <c r="O18" s="277"/>
      <c r="P18" s="277"/>
      <c r="Q18" s="279"/>
      <c r="R18" s="280"/>
      <c r="S18" s="280"/>
      <c r="T18" s="280"/>
      <c r="U18" s="280"/>
      <c r="V18" s="280"/>
      <c r="W18" s="280"/>
      <c r="X18" s="281"/>
      <c r="Y18" s="302"/>
      <c r="Z18" s="211"/>
    </row>
    <row r="19" spans="2:26" s="142" customFormat="1">
      <c r="B19" s="143">
        <v>8</v>
      </c>
      <c r="C19" s="144" t="str">
        <f t="shared" si="0"/>
        <v>THE Trading Hub Europe</v>
      </c>
      <c r="D19" s="61"/>
      <c r="E19" s="164"/>
      <c r="F19" s="306"/>
      <c r="H19" s="277"/>
      <c r="I19" s="277"/>
      <c r="J19" s="277"/>
      <c r="K19" s="277"/>
      <c r="L19" s="278"/>
      <c r="M19" s="277"/>
      <c r="N19" s="277"/>
      <c r="O19" s="277"/>
      <c r="P19" s="277"/>
      <c r="Q19" s="279"/>
      <c r="R19" s="280"/>
      <c r="S19" s="280"/>
      <c r="T19" s="280"/>
      <c r="U19" s="280"/>
      <c r="V19" s="280"/>
      <c r="W19" s="280"/>
      <c r="X19" s="281"/>
      <c r="Y19" s="302"/>
      <c r="Z19" s="211"/>
    </row>
    <row r="20" spans="2:26" s="142" customFormat="1">
      <c r="B20" s="143">
        <v>9</v>
      </c>
      <c r="C20" s="144" t="str">
        <f t="shared" si="0"/>
        <v>THE Trading Hub Europe</v>
      </c>
      <c r="D20" s="61"/>
      <c r="E20" s="164"/>
      <c r="F20" s="306"/>
      <c r="H20" s="277"/>
      <c r="I20" s="277"/>
      <c r="J20" s="277"/>
      <c r="K20" s="277"/>
      <c r="L20" s="278"/>
      <c r="M20" s="277"/>
      <c r="N20" s="277"/>
      <c r="O20" s="277"/>
      <c r="P20" s="277"/>
      <c r="Q20" s="279"/>
      <c r="R20" s="280"/>
      <c r="S20" s="280"/>
      <c r="T20" s="280"/>
      <c r="U20" s="280"/>
      <c r="V20" s="280"/>
      <c r="W20" s="280"/>
      <c r="X20" s="281"/>
      <c r="Y20" s="302"/>
      <c r="Z20" s="211"/>
    </row>
    <row r="21" spans="2:26" s="142" customFormat="1">
      <c r="B21" s="143">
        <v>10</v>
      </c>
      <c r="C21" s="144" t="str">
        <f t="shared" si="0"/>
        <v>THE Trading Hub Europe</v>
      </c>
      <c r="D21" s="61"/>
      <c r="E21" s="164"/>
      <c r="F21" s="306"/>
      <c r="H21" s="277"/>
      <c r="I21" s="277"/>
      <c r="J21" s="277"/>
      <c r="K21" s="277"/>
      <c r="L21" s="278"/>
      <c r="M21" s="277"/>
      <c r="N21" s="277"/>
      <c r="O21" s="277"/>
      <c r="P21" s="277"/>
      <c r="Q21" s="279"/>
      <c r="R21" s="280"/>
      <c r="S21" s="280"/>
      <c r="T21" s="280"/>
      <c r="U21" s="280"/>
      <c r="V21" s="280"/>
      <c r="W21" s="280"/>
      <c r="X21" s="281"/>
      <c r="Y21" s="302"/>
      <c r="Z21" s="211"/>
    </row>
    <row r="22" spans="2:26" s="142" customFormat="1">
      <c r="B22" s="143">
        <v>11</v>
      </c>
      <c r="C22" s="144" t="str">
        <f t="shared" si="0"/>
        <v>THE Trading Hub Europe</v>
      </c>
      <c r="D22" s="61"/>
      <c r="E22" s="164"/>
      <c r="F22" s="306"/>
      <c r="H22" s="277"/>
      <c r="I22" s="277"/>
      <c r="J22" s="277"/>
      <c r="K22" s="277"/>
      <c r="L22" s="278"/>
      <c r="M22" s="277"/>
      <c r="N22" s="277"/>
      <c r="O22" s="277"/>
      <c r="P22" s="277"/>
      <c r="Q22" s="279"/>
      <c r="R22" s="280"/>
      <c r="S22" s="280"/>
      <c r="T22" s="280"/>
      <c r="U22" s="280"/>
      <c r="V22" s="280"/>
      <c r="W22" s="280"/>
      <c r="X22" s="281"/>
      <c r="Y22" s="302"/>
      <c r="Z22" s="211"/>
    </row>
    <row r="23" spans="2:26" s="142" customFormat="1">
      <c r="B23" s="143">
        <v>12</v>
      </c>
      <c r="C23" s="144" t="str">
        <f t="shared" si="0"/>
        <v>THE Trading Hub Europe</v>
      </c>
      <c r="D23" s="61"/>
      <c r="E23" s="164"/>
      <c r="F23" s="306"/>
      <c r="H23" s="277"/>
      <c r="I23" s="277"/>
      <c r="J23" s="277"/>
      <c r="K23" s="277"/>
      <c r="L23" s="278"/>
      <c r="M23" s="277"/>
      <c r="N23" s="277"/>
      <c r="O23" s="277"/>
      <c r="P23" s="277"/>
      <c r="Q23" s="279"/>
      <c r="R23" s="280"/>
      <c r="S23" s="280"/>
      <c r="T23" s="280"/>
      <c r="U23" s="280"/>
      <c r="V23" s="280"/>
      <c r="W23" s="280"/>
      <c r="X23" s="281"/>
      <c r="Y23" s="302"/>
      <c r="Z23" s="211"/>
    </row>
    <row r="24" spans="2:26" s="142" customFormat="1">
      <c r="B24" s="143">
        <v>13</v>
      </c>
      <c r="C24" s="144" t="str">
        <f t="shared" si="0"/>
        <v>THE Trading Hub Europe</v>
      </c>
      <c r="D24" s="61"/>
      <c r="E24" s="164"/>
      <c r="F24" s="306"/>
      <c r="H24" s="277"/>
      <c r="I24" s="277"/>
      <c r="J24" s="277"/>
      <c r="K24" s="277"/>
      <c r="L24" s="278"/>
      <c r="M24" s="277"/>
      <c r="N24" s="277"/>
      <c r="O24" s="277"/>
      <c r="P24" s="277"/>
      <c r="Q24" s="279"/>
      <c r="R24" s="280"/>
      <c r="S24" s="280"/>
      <c r="T24" s="280"/>
      <c r="U24" s="280"/>
      <c r="V24" s="280"/>
      <c r="W24" s="280"/>
      <c r="X24" s="281"/>
      <c r="Y24" s="302"/>
      <c r="Z24" s="211"/>
    </row>
    <row r="25" spans="2:26" s="142" customFormat="1">
      <c r="B25" s="143">
        <v>14</v>
      </c>
      <c r="C25" s="144" t="str">
        <f t="shared" si="0"/>
        <v>THE Trading Hub Europe</v>
      </c>
      <c r="D25" s="61"/>
      <c r="E25" s="164"/>
      <c r="F25" s="306"/>
      <c r="H25" s="277"/>
      <c r="I25" s="277"/>
      <c r="J25" s="277"/>
      <c r="K25" s="277"/>
      <c r="L25" s="278"/>
      <c r="M25" s="277"/>
      <c r="N25" s="277"/>
      <c r="O25" s="277"/>
      <c r="P25" s="277"/>
      <c r="Q25" s="279"/>
      <c r="R25" s="280"/>
      <c r="S25" s="280"/>
      <c r="T25" s="280"/>
      <c r="U25" s="280"/>
      <c r="V25" s="280"/>
      <c r="W25" s="280"/>
      <c r="X25" s="281"/>
      <c r="Y25" s="302"/>
      <c r="Z25" s="211"/>
    </row>
    <row r="26" spans="2:26" s="142" customFormat="1">
      <c r="B26" s="143">
        <v>15</v>
      </c>
      <c r="C26" s="144" t="str">
        <f t="shared" si="0"/>
        <v>THE Trading Hub Europe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THE Trading Hub Europe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THE Trading Hub Europe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THE Trading Hub Europe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THE Trading Hub Europe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THE Trading Hub Europe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THE Trading Hub Europe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THE Trading Hub Europe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THE Trading Hub Europe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THE Trading Hub Europe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THE Trading Hub Europe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THE Trading Hub Europe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THE Trading Hub Europe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THE Trading Hub Europe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THE Trading Hub Europe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THE Trading Hub Europe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2000000}">
          <x14:formula1>
            <xm:f>'BDEW-Standard'!$B$3:$B$158</xm:f>
          </x14:formula1>
          <xm:sqref>E11 E15 E14 E12 E13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E16:E41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E16:E26</xm:sqref>
        </x14:dataValidation>
        <x14:dataValidation type="list" errorStyle="information" allowBlank="1" showInputMessage="1" showErrorMessage="1" errorTitle="Achtung!" error="keine BDEW Nomenklatur" xr:uid="{51925DBC-E660-4197-8D0C-66F883A21A9D}">
          <x14:formula1>
            <xm:f>'BDEW-Standard'!$B$3:$B$158</xm:f>
          </x14:formula1>
          <xm:sqref>E12:E15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4140625" defaultRowHeight="14.4"/>
  <cols>
    <col min="1" max="3" width="11.44140625" style="127"/>
    <col min="4" max="4" width="19.88671875" style="127" customWidth="1"/>
    <col min="5" max="9" width="16" style="127" customWidth="1"/>
    <col min="10" max="10" width="15.109375" style="127" customWidth="1"/>
    <col min="11" max="12" width="16" style="127" customWidth="1"/>
    <col min="13" max="13" width="15.33203125" style="127" customWidth="1"/>
    <col min="14" max="16384" width="11.44140625" style="127"/>
  </cols>
  <sheetData>
    <row r="1" spans="1:14">
      <c r="A1" s="214" t="s">
        <v>344</v>
      </c>
      <c r="B1" s="215">
        <v>42173</v>
      </c>
      <c r="D1" s="130" t="s">
        <v>451</v>
      </c>
      <c r="F1" s="216" t="s">
        <v>545</v>
      </c>
      <c r="N1" s="217"/>
    </row>
    <row r="2" spans="1:14" ht="26.4">
      <c r="A2" s="218" t="s">
        <v>268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34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319</v>
      </c>
      <c r="D96" s="234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324</v>
      </c>
      <c r="D97" s="234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329</v>
      </c>
      <c r="D98" s="234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282</v>
      </c>
      <c r="D99" s="234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34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34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34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34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34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34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34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34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34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34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34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34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34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34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34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34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34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34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34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34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34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34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34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34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34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34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34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34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34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34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34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34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34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34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34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34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34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34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34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34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34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34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34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34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34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34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34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34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34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34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34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34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34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34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34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34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34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34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34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AE6" sqref="AE6"/>
    </sheetView>
  </sheetViews>
  <sheetFormatPr baseColWidth="10" defaultColWidth="0" defaultRowHeight="13.2" zeroHeight="1"/>
  <cols>
    <col min="1" max="1" width="2.88671875" style="74" customWidth="1"/>
    <col min="2" max="2" width="15.109375" style="74" customWidth="1"/>
    <col min="3" max="3" width="14.6640625" style="74" customWidth="1"/>
    <col min="4" max="4" width="5.88671875" style="74" hidden="1" customWidth="1"/>
    <col min="5" max="5" width="5.109375" style="74" customWidth="1"/>
    <col min="6" max="12" width="12.6640625" style="74" customWidth="1"/>
    <col min="13" max="30" width="5.6640625" style="74" customWidth="1"/>
    <col min="31" max="31" width="11.44140625" style="74" customWidth="1"/>
    <col min="32" max="16384" width="11.44140625" style="74" hidden="1"/>
  </cols>
  <sheetData>
    <row r="1" spans="2:30" ht="75" customHeight="1"/>
    <row r="2" spans="2:30" ht="22.8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Stadtwerke Stadtoldendorf GmbH</v>
      </c>
      <c r="D4" s="75"/>
      <c r="G4" s="75"/>
      <c r="I4" s="75"/>
      <c r="J4" s="76"/>
      <c r="M4" s="85" t="s">
        <v>539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4.4">
      <c r="B5" s="86" t="s">
        <v>441</v>
      </c>
      <c r="C5" s="63" t="str">
        <f>Netzbetreiber!D28</f>
        <v>THE Trading Hub Europe</v>
      </c>
      <c r="D5" s="37"/>
      <c r="E5" s="75"/>
      <c r="F5" s="75"/>
      <c r="G5" s="75"/>
      <c r="I5" s="75"/>
      <c r="J5" s="75"/>
      <c r="K5" s="75"/>
      <c r="L5" s="75"/>
      <c r="M5" s="87" t="s">
        <v>507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4.4">
      <c r="B6" s="84" t="s">
        <v>439</v>
      </c>
      <c r="C6" s="62" t="str">
        <f>Netzbetreiber!$D$11</f>
        <v>9870087100003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" thickBot="1">
      <c r="B7" s="84" t="s">
        <v>133</v>
      </c>
      <c r="C7" s="57">
        <f>Netzbetreiber!$D$6</f>
        <v>43891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4" t="s">
        <v>583</v>
      </c>
      <c r="C10" s="365"/>
      <c r="D10" s="93">
        <v>2</v>
      </c>
      <c r="E10" s="94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4.4">
      <c r="B12" s="108" t="s">
        <v>396</v>
      </c>
      <c r="C12" s="109"/>
      <c r="D12" s="110">
        <v>4</v>
      </c>
      <c r="E12" s="313">
        <f>MIN(SUMPRODUCT($M$11:$AD$11,M12:AD12),1)</f>
        <v>1</v>
      </c>
      <c r="F12" s="310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4.4">
      <c r="B13" s="115" t="s">
        <v>397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4.4">
      <c r="B14" s="115" t="s">
        <v>398</v>
      </c>
      <c r="C14" s="116"/>
      <c r="D14" s="110">
        <v>6</v>
      </c>
      <c r="E14" s="314">
        <f t="shared" si="0"/>
        <v>0</v>
      </c>
      <c r="F14" s="311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4.4">
      <c r="B15" s="115" t="s">
        <v>400</v>
      </c>
      <c r="C15" s="116"/>
      <c r="D15" s="110">
        <v>7</v>
      </c>
      <c r="E15" s="314">
        <f t="shared" si="0"/>
        <v>0</v>
      </c>
      <c r="F15" s="311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4.4">
      <c r="B16" s="120" t="s">
        <v>412</v>
      </c>
      <c r="C16" s="116"/>
      <c r="D16" s="110">
        <v>8</v>
      </c>
      <c r="E16" s="314">
        <f t="shared" si="0"/>
        <v>1</v>
      </c>
      <c r="F16" s="311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4.4">
      <c r="B17" s="120" t="s">
        <v>413</v>
      </c>
      <c r="C17" s="116"/>
      <c r="D17" s="110">
        <v>9</v>
      </c>
      <c r="E17" s="314">
        <f t="shared" si="0"/>
        <v>1</v>
      </c>
      <c r="F17" s="311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4.4">
      <c r="B18" s="120" t="s">
        <v>414</v>
      </c>
      <c r="C18" s="116"/>
      <c r="D18" s="110">
        <v>10</v>
      </c>
      <c r="E18" s="314">
        <f t="shared" si="0"/>
        <v>1</v>
      </c>
      <c r="F18" s="311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4.4">
      <c r="B19" s="338" t="s">
        <v>651</v>
      </c>
      <c r="C19" s="339"/>
      <c r="D19" s="110"/>
      <c r="E19" s="314">
        <v>1</v>
      </c>
      <c r="F19" s="311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4.4">
      <c r="B20" s="120" t="s">
        <v>401</v>
      </c>
      <c r="C20" s="116"/>
      <c r="D20" s="110">
        <v>11</v>
      </c>
      <c r="E20" s="314">
        <f t="shared" si="0"/>
        <v>1</v>
      </c>
      <c r="F20" s="311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4.4">
      <c r="B21" s="120" t="s">
        <v>649</v>
      </c>
      <c r="C21" s="116"/>
      <c r="D21" s="110">
        <v>12</v>
      </c>
      <c r="E21" s="314">
        <f t="shared" si="0"/>
        <v>1</v>
      </c>
      <c r="F21" s="311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4.4">
      <c r="B22" s="120" t="s">
        <v>415</v>
      </c>
      <c r="C22" s="116"/>
      <c r="D22" s="110">
        <v>13</v>
      </c>
      <c r="E22" s="314">
        <f t="shared" si="0"/>
        <v>1</v>
      </c>
      <c r="F22" s="311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4.4">
      <c r="B23" s="120" t="s">
        <v>416</v>
      </c>
      <c r="C23" s="116"/>
      <c r="D23" s="110">
        <v>14</v>
      </c>
      <c r="E23" s="314">
        <f t="shared" si="0"/>
        <v>1</v>
      </c>
      <c r="F23" s="311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4.4">
      <c r="B24" s="115" t="s">
        <v>417</v>
      </c>
      <c r="C24" s="116"/>
      <c r="D24" s="110">
        <v>15</v>
      </c>
      <c r="E24" s="314">
        <f t="shared" si="0"/>
        <v>0</v>
      </c>
      <c r="F24" s="311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4.4">
      <c r="B25" s="115" t="s">
        <v>402</v>
      </c>
      <c r="C25" s="116"/>
      <c r="D25" s="110">
        <v>16</v>
      </c>
      <c r="E25" s="314">
        <f t="shared" si="0"/>
        <v>0</v>
      </c>
      <c r="F25" s="311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4.4">
      <c r="B26" s="115" t="s">
        <v>403</v>
      </c>
      <c r="C26" s="116"/>
      <c r="D26" s="110">
        <v>17</v>
      </c>
      <c r="E26" s="314">
        <f t="shared" si="0"/>
        <v>0</v>
      </c>
      <c r="F26" s="311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4.4">
      <c r="B27" s="338" t="s">
        <v>650</v>
      </c>
      <c r="C27" s="339"/>
      <c r="D27" s="110"/>
      <c r="E27" s="314">
        <v>1</v>
      </c>
      <c r="F27" s="311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4.4">
      <c r="B28" s="120" t="s">
        <v>404</v>
      </c>
      <c r="C28" s="116"/>
      <c r="D28" s="110">
        <v>18</v>
      </c>
      <c r="E28" s="314">
        <f t="shared" si="0"/>
        <v>1</v>
      </c>
      <c r="F28" s="311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4.4">
      <c r="B29" s="338" t="s">
        <v>405</v>
      </c>
      <c r="C29" s="339"/>
      <c r="D29" s="340">
        <v>19</v>
      </c>
      <c r="E29" s="341">
        <v>1</v>
      </c>
      <c r="F29" s="311" t="s">
        <v>392</v>
      </c>
      <c r="G29" s="311" t="s">
        <v>392</v>
      </c>
      <c r="H29" s="311" t="s">
        <v>392</v>
      </c>
      <c r="I29" s="311" t="s">
        <v>392</v>
      </c>
      <c r="J29" s="311" t="s">
        <v>392</v>
      </c>
      <c r="K29" s="311" t="s">
        <v>392</v>
      </c>
      <c r="L29" s="311" t="s">
        <v>392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4.4">
      <c r="B30" s="115" t="s">
        <v>406</v>
      </c>
      <c r="C30" s="116"/>
      <c r="D30" s="110">
        <v>20</v>
      </c>
      <c r="E30" s="314">
        <f t="shared" si="0"/>
        <v>0</v>
      </c>
      <c r="F30" s="311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4.4">
      <c r="B31" s="115" t="s">
        <v>407</v>
      </c>
      <c r="C31" s="116"/>
      <c r="D31" s="110">
        <v>21</v>
      </c>
      <c r="E31" s="314">
        <f t="shared" si="0"/>
        <v>0</v>
      </c>
      <c r="F31" s="311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4.4">
      <c r="B32" s="115" t="s">
        <v>408</v>
      </c>
      <c r="C32" s="116"/>
      <c r="D32" s="110">
        <v>22</v>
      </c>
      <c r="E32" s="314">
        <f t="shared" si="0"/>
        <v>0</v>
      </c>
      <c r="F32" s="311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4.4">
      <c r="B33" s="120" t="s">
        <v>409</v>
      </c>
      <c r="C33" s="116"/>
      <c r="D33" s="110">
        <v>23</v>
      </c>
      <c r="E33" s="314">
        <f t="shared" si="0"/>
        <v>1</v>
      </c>
      <c r="F33" s="311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4.4">
      <c r="B34" s="120" t="s">
        <v>410</v>
      </c>
      <c r="C34" s="116"/>
      <c r="D34" s="110">
        <v>24</v>
      </c>
      <c r="E34" s="314">
        <f t="shared" si="0"/>
        <v>1</v>
      </c>
      <c r="F34" s="311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" thickBot="1">
      <c r="B35" s="121" t="s">
        <v>411</v>
      </c>
      <c r="C35" s="122"/>
      <c r="D35" s="123">
        <v>25</v>
      </c>
      <c r="E35" s="315">
        <f t="shared" si="0"/>
        <v>0</v>
      </c>
      <c r="F35" s="312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56" customWidth="1"/>
    <col min="2" max="2" width="7" style="257" customWidth="1"/>
    <col min="3" max="3" width="27.6640625" style="236" customWidth="1"/>
    <col min="4" max="10" width="8.88671875" style="236" customWidth="1"/>
    <col min="11" max="14" width="11.44140625" style="236" customWidth="1"/>
    <col min="15" max="15" width="12.33203125" style="127" customWidth="1"/>
    <col min="16" max="16" width="16.5546875" style="236" customWidth="1"/>
    <col min="17" max="16384" width="11.44140625" style="236"/>
  </cols>
  <sheetData>
    <row r="1" spans="1:16" s="235" customFormat="1">
      <c r="A1" s="130" t="s">
        <v>452</v>
      </c>
      <c r="B1" s="127"/>
      <c r="D1" s="216" t="s">
        <v>545</v>
      </c>
    </row>
    <row r="2" spans="1:16">
      <c r="A2" s="236"/>
      <c r="B2" s="235" t="s">
        <v>453</v>
      </c>
    </row>
    <row r="3" spans="1:16" ht="20.100000000000001" customHeight="1">
      <c r="A3" s="366" t="s">
        <v>249</v>
      </c>
      <c r="B3" s="237" t="s">
        <v>86</v>
      </c>
      <c r="C3" s="238"/>
      <c r="D3" s="368" t="s">
        <v>454</v>
      </c>
      <c r="E3" s="369"/>
      <c r="F3" s="369"/>
      <c r="G3" s="369"/>
      <c r="H3" s="369"/>
      <c r="I3" s="369"/>
      <c r="J3" s="370"/>
      <c r="K3" s="239"/>
      <c r="L3" s="239"/>
      <c r="M3" s="239"/>
      <c r="N3" s="239"/>
      <c r="O3" s="240"/>
      <c r="P3" s="239"/>
    </row>
    <row r="4" spans="1:16" ht="20.100000000000001" customHeight="1">
      <c r="A4" s="367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365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365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9.6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6.4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Buchholz, Karsten</cp:lastModifiedBy>
  <cp:lastPrinted>2021-02-23T07:27:17Z</cp:lastPrinted>
  <dcterms:created xsi:type="dcterms:W3CDTF">2015-01-15T05:25:41Z</dcterms:created>
  <dcterms:modified xsi:type="dcterms:W3CDTF">2021-09-24T09:57:25Z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